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Gap Assessmen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<sst xmlns="http://schemas.openxmlformats.org/spreadsheetml/2006/main" count="652" uniqueCount="323">
  <si>
    <t xml:space="preserve">temper.ai  —  CSA AI Controls Matrix (AICM) v1.0  —  Gap Assessment Register</t>
  </si>
  <si>
    <t xml:space="preserve">Pre-populated from Turing Demonstrator Transparency Card (Apr 2026). Complete assessment by reviewing each domain row in the Gap Assessment sheet.</t>
  </si>
  <si>
    <t xml:space="preserve">Code</t>
  </si>
  <si>
    <t xml:space="preserve">Domain</t>
  </si>
  <si>
    <t xml:space="preserve">Total Controls</t>
  </si>
  <si>
    <t xml:space="preserve">Implemented</t>
  </si>
  <si>
    <t xml:space="preserve">Partial</t>
  </si>
  <si>
    <t xml:space="preserve">Gap</t>
  </si>
  <si>
    <t xml:space="preserve">Not Applicable</t>
  </si>
  <si>
    <t xml:space="preserve">% Complete</t>
  </si>
  <si>
    <t xml:space="preserve">Overall Status</t>
  </si>
  <si>
    <t xml:space="preserve">Priority Action</t>
  </si>
  <si>
    <t xml:space="preserve">Owner</t>
  </si>
  <si>
    <t xml:space="preserve">AA</t>
  </si>
  <si>
    <t xml:space="preserve">Audit and Assurance</t>
  </si>
  <si>
    <t xml:space="preserve">Schedule first internal AI audit for Q3 2026. Formalise audit trail.</t>
  </si>
  <si>
    <t xml:space="preserve">Michael Bilca</t>
  </si>
  <si>
    <t xml:space="preserve">AIS</t>
  </si>
  <si>
    <t xml:space="preserve">Application and Interface Security</t>
  </si>
  <si>
    <t xml:space="preserve">No action required for demo system. Revisit when production AI app launches.</t>
  </si>
  <si>
    <t xml:space="preserve">TBD</t>
  </si>
  <si>
    <t xml:space="preserve">BCR</t>
  </si>
  <si>
    <t xml:space="preserve">Business Continuity Management &amp; Operational Resilience</t>
  </si>
  <si>
    <t xml:space="preserve">Document model backup policy for in-house SNN.</t>
  </si>
  <si>
    <t xml:space="preserve">CCC</t>
  </si>
  <si>
    <t xml:space="preserve">Change Control and Configuration Management</t>
  </si>
  <si>
    <t xml:space="preserve">Define lightweight change approval gate for model updates.</t>
  </si>
  <si>
    <t xml:space="preserve">CEK</t>
  </si>
  <si>
    <t xml:space="preserve">Cryptography, Encryption and Key Management</t>
  </si>
  <si>
    <t xml:space="preserve">No action required for demo system. Revisit when handling regulated data.</t>
  </si>
  <si>
    <t xml:space="preserve">DCS</t>
  </si>
  <si>
    <t xml:space="preserve">Datacenter Security</t>
  </si>
  <si>
    <t xml:space="preserve">Document physical location of model storage and demo hardware.</t>
  </si>
  <si>
    <t xml:space="preserve">DSP</t>
  </si>
  <si>
    <t xml:space="preserve">Data Security and Privacy Lifecycle Management</t>
  </si>
  <si>
    <t xml:space="preserve">No action required. No PII or regulated data in scope.</t>
  </si>
  <si>
    <t xml:space="preserve">GRC</t>
  </si>
  <si>
    <t xml:space="preserve">Governance, Risk and Compliance</t>
  </si>
  <si>
    <t xml:space="preserve">Complete GOVERN/MAP/MEASURE/MANAGE sections of NIST AI RMF mapping doc. Draft ethics policy.</t>
  </si>
  <si>
    <t xml:space="preserve">HRS</t>
  </si>
  <si>
    <t xml:space="preserve">Human Resources</t>
  </si>
  <si>
    <t xml:space="preserve">Define AI responsibilities in role descriptions. Plan security awareness training for Q3 2026.</t>
  </si>
  <si>
    <t xml:space="preserve">IAM</t>
  </si>
  <si>
    <t xml:space="preserve">Identity and Access Management</t>
  </si>
  <si>
    <t xml:space="preserve">Enforce MFA across all accounts. Document access register.</t>
  </si>
  <si>
    <t xml:space="preserve">IPY</t>
  </si>
  <si>
    <t xml:space="preserve">Interoperability and Portability</t>
  </si>
  <si>
    <t xml:space="preserve">No action required for demo system.</t>
  </si>
  <si>
    <t xml:space="preserve">IVS</t>
  </si>
  <si>
    <t xml:space="preserve">Infrastructure Security</t>
  </si>
  <si>
    <t xml:space="preserve">Document infrastructure hardening baseline. Add to NIST 800-171 CCC controls.</t>
  </si>
  <si>
    <t xml:space="preserve">LOG</t>
  </si>
  <si>
    <t xml:space="preserve">Logging and Monitoring</t>
  </si>
  <si>
    <t xml:space="preserve">Define logging policy for any future production AI systems.</t>
  </si>
  <si>
    <t xml:space="preserve">MDS</t>
  </si>
  <si>
    <t xml:space="preserve">Model Security</t>
  </si>
  <si>
    <t xml:space="preserve">No action required. Strong posture — in-house model, no attack surface, Transparency Card complete.</t>
  </si>
  <si>
    <t xml:space="preserve">SEF</t>
  </si>
  <si>
    <t xml:space="preserve">Security Incident Management, E-Discovery &amp; Forensics</t>
  </si>
  <si>
    <t xml:space="preserve">Write AI incident response plan. Define escalation paths. HIGH PRIORITY.</t>
  </si>
  <si>
    <t xml:space="preserve">STA</t>
  </si>
  <si>
    <t xml:space="preserve">Supply Chain Management, Transparency and Accountability</t>
  </si>
  <si>
    <t xml:space="preserve">No action for Turing Demonstrator. Build vendor risk register template for future integrations.</t>
  </si>
  <si>
    <t xml:space="preserve">TVM</t>
  </si>
  <si>
    <t xml:space="preserve">Threat and Vulnerability Management</t>
  </si>
  <si>
    <t xml:space="preserve">No action for demo system. Subscribe to AI threat intelligence for production roadmap.</t>
  </si>
  <si>
    <t xml:space="preserve">UEM</t>
  </si>
  <si>
    <t xml:space="preserve">Universal Endpoint Management</t>
  </si>
  <si>
    <t xml:space="preserve">Enrol developer endpoints in MDM solution. Implement device compliance checks.</t>
  </si>
  <si>
    <t xml:space="preserve">LEGEND</t>
  </si>
  <si>
    <t xml:space="preserve">Status definitions — applied per control in the Gap Assessment sheet</t>
  </si>
  <si>
    <t xml:space="preserve">All controls met or N/A-confirmed.</t>
  </si>
  <si>
    <t xml:space="preserve">Controls partially in place — evidence exists but gaps remain.</t>
  </si>
  <si>
    <t xml:space="preserve">Control not yet implemented — action required.</t>
  </si>
  <si>
    <t xml:space="preserve">Control does not apply to this system — rationale documented.</t>
  </si>
  <si>
    <t xml:space="preserve">CSA AICM v1.0 — Control-by-Control Gap Assessment</t>
  </si>
  <si>
    <t xml:space="preserve">Source: Cloud Security Alliance AI Controls Matrix v1.0 (July 2025) | temper.ai assessment — April 2026 | Owner: Michael Bilca</t>
  </si>
  <si>
    <t xml:space="preserve">Control ID</t>
  </si>
  <si>
    <t xml:space="preserve">Control Objective</t>
  </si>
  <si>
    <t xml:space="preserve">Rationale / Evidence</t>
  </si>
  <si>
    <t xml:space="preserve">Status</t>
  </si>
  <si>
    <t xml:space="preserve">Priority</t>
  </si>
  <si>
    <t xml:space="preserve">Notes</t>
  </si>
  <si>
    <t xml:space="preserve">  AA  —  Audit and Assurance</t>
  </si>
  <si>
    <t xml:space="preserve">AA-01</t>
  </si>
  <si>
    <t xml:space="preserve">Establish an AI audit policy and programme covering model governance, data handling, and deployment decisions.</t>
  </si>
  <si>
    <t xml:space="preserve">NIST AI RMF mapping doc created (Apr 2026). Formal audit programme not yet established.</t>
  </si>
  <si>
    <t xml:space="preserve">High</t>
  </si>
  <si>
    <t xml:space="preserve">AA-02</t>
  </si>
  <si>
    <t xml:space="preserve">Conduct internal audits of AI systems against defined policies at least annually.</t>
  </si>
  <si>
    <t xml:space="preserve">No internal audit cycle established yet. Schedule for Q3 2026.</t>
  </si>
  <si>
    <t xml:space="preserve">AA-03</t>
  </si>
  <si>
    <t xml:space="preserve">Maintain an AI system inventory with version control and change history.</t>
  </si>
  <si>
    <t xml:space="preserve">Transparency Card exists for Turing Demonstrator v9.0.242. Other systems not yet inventoried.</t>
  </si>
  <si>
    <t xml:space="preserve">Medium</t>
  </si>
  <si>
    <t xml:space="preserve">AA-04</t>
  </si>
  <si>
    <t xml:space="preserve">Document audit findings and track remediation through to closure.</t>
  </si>
  <si>
    <t xml:space="preserve">No formal audit findings register. Create alongside first internal audit.</t>
  </si>
  <si>
    <t xml:space="preserve">AA-05</t>
  </si>
  <si>
    <t xml:space="preserve">Ensure AI audit scope includes training data provenance, model behaviour, and output fairness.</t>
  </si>
  <si>
    <t xml:space="preserve">Turing Demonstrator uses no training data, no real-world I/O. N/A for this system.</t>
  </si>
  <si>
    <t xml:space="preserve">Low</t>
  </si>
  <si>
    <t xml:space="preserve">—</t>
  </si>
  <si>
    <t xml:space="preserve">  AIS  —  Application and Interface Security</t>
  </si>
  <si>
    <t xml:space="preserve">AIS-01</t>
  </si>
  <si>
    <t xml:space="preserve">Implement input validation and output sanitisation for all AI system interfaces.</t>
  </si>
  <si>
    <t xml:space="preserve">Turing Demonstrator accepts only user settings (sliders/parameters). No real-world data ingested. N/A.</t>
  </si>
  <si>
    <t xml:space="preserve">AIS-02</t>
  </si>
  <si>
    <t xml:space="preserve">Apply secure coding practices to AI application layers.</t>
  </si>
  <si>
    <t xml:space="preserve">Demo app only. No production API or user-facing application handling sensitive data.</t>
  </si>
  <si>
    <t xml:space="preserve">AIS-03</t>
  </si>
  <si>
    <t xml:space="preserve">Test AI interfaces for prompt injection, adversarial input, and boundary violations.</t>
  </si>
  <si>
    <t xml:space="preserve">No LLM or text-based interface. SNN with no real-world I/O. N/A.</t>
  </si>
  <si>
    <t xml:space="preserve">AIS-04</t>
  </si>
  <si>
    <t xml:space="preserve">Implement rate limiting and abuse detection on AI-facing APIs.</t>
  </si>
  <si>
    <t xml:space="preserve">No public API. Demo only. N/A.</t>
  </si>
  <si>
    <t xml:space="preserve">AIS-05</t>
  </si>
  <si>
    <t xml:space="preserve">Document approved use patterns and enforce via interface design.</t>
  </si>
  <si>
    <t xml:space="preserve">Transparency Card explicitly documents intended use, prohibited use, and deployment environment.</t>
  </si>
  <si>
    <t xml:space="preserve">  BCR  —  Business Continuity Management &amp; Operational Resilience</t>
  </si>
  <si>
    <t xml:space="preserve">BCR-01</t>
  </si>
  <si>
    <t xml:space="preserve">Define RTO/RPO for AI systems and include in business continuity plans.</t>
  </si>
  <si>
    <t xml:space="preserve">Turing Demonstrator is a demo tool with no production SLA or uptime requirement.</t>
  </si>
  <si>
    <t xml:space="preserve">BCR-02</t>
  </si>
  <si>
    <t xml:space="preserve">Test failover and recovery of AI systems at least annually.</t>
  </si>
  <si>
    <t xml:space="preserve">Demo only. N/A.</t>
  </si>
  <si>
    <t xml:space="preserve">BCR-03</t>
  </si>
  <si>
    <t xml:space="preserve">Maintain offline backups of trained model weights and configurations.</t>
  </si>
  <si>
    <t xml:space="preserve">Model is in-house SNN. Version-controlled at v9.0.242. Backup policy not formally documented.</t>
  </si>
  <si>
    <t xml:space="preserve">BCR-04</t>
  </si>
  <si>
    <t xml:space="preserve">Document dependencies on third-party AI model providers and contingency plans.</t>
  </si>
  <si>
    <t xml:space="preserve">No third-party model dependencies. Fully in-house. Documented in Transparency Card.</t>
  </si>
  <si>
    <t xml:space="preserve">  CCC  —  Change Control and Configuration Management</t>
  </si>
  <si>
    <t xml:space="preserve">CCC-01</t>
  </si>
  <si>
    <t xml:space="preserve">Maintain version control for AI models, training pipelines, and configurations.</t>
  </si>
  <si>
    <t xml:space="preserve">Version tracked (v9.0.242). Formal change management policy not yet documented.</t>
  </si>
  <si>
    <t xml:space="preserve">CCC-02</t>
  </si>
  <si>
    <t xml:space="preserve">Require review and approval for material changes to AI systems before deployment.</t>
  </si>
  <si>
    <t xml:space="preserve">No formal change approval gate defined. Implement lightweight review process for model updates.</t>
  </si>
  <si>
    <t xml:space="preserve">CCC-03</t>
  </si>
  <si>
    <t xml:space="preserve">Document rollback procedures for AI model deployments.</t>
  </si>
  <si>
    <t xml:space="preserve">Not documented. Define alongside change policy.</t>
  </si>
  <si>
    <t xml:space="preserve">CCC-04</t>
  </si>
  <si>
    <t xml:space="preserve">Track and document the impact of model updates on system behaviour and outputs.</t>
  </si>
  <si>
    <t xml:space="preserve">Version number tracked. Impact analysis not formally logged per release.</t>
  </si>
  <si>
    <t xml:space="preserve">  CEK  —  Cryptography, Encryption and Key Management</t>
  </si>
  <si>
    <t xml:space="preserve">CEK-01</t>
  </si>
  <si>
    <t xml:space="preserve">Encrypt AI model weights and sensitive configuration at rest and in transit.</t>
  </si>
  <si>
    <t xml:space="preserve">Turing Demonstrator processes no sensitive data. Model weights are internal IP but not regulated data.</t>
  </si>
  <si>
    <t xml:space="preserve">CEK-02</t>
  </si>
  <si>
    <t xml:space="preserve">Manage encryption keys using a formal key management policy.</t>
  </si>
  <si>
    <t xml:space="preserve">No regulated data processed. N/A for this system. Review if system scope expands.</t>
  </si>
  <si>
    <t xml:space="preserve">CEK-03</t>
  </si>
  <si>
    <t xml:space="preserve">Apply TLS 1.2+ to all AI API communications.</t>
  </si>
  <si>
    <t xml:space="preserve">Demo app with no external API communications. N/A.</t>
  </si>
  <si>
    <t xml:space="preserve">  DCS  —  Datacenter Security</t>
  </si>
  <si>
    <t xml:space="preserve">DCS-01</t>
  </si>
  <si>
    <t xml:space="preserve">Ensure AI training and inference infrastructure is hosted in physically secure environments.</t>
  </si>
  <si>
    <t xml:space="preserve">Turing Demonstrator runs locally / on demo hardware. No cloud datacenter dependency.</t>
  </si>
  <si>
    <t xml:space="preserve">DCS-02</t>
  </si>
  <si>
    <t xml:space="preserve">Document the physical location of AI model storage and processing.</t>
  </si>
  <si>
    <t xml:space="preserve">In-house model, local execution. Location not formally documented.</t>
  </si>
  <si>
    <t xml:space="preserve">  DSP  —  Data Security and Privacy Lifecycle Management</t>
  </si>
  <si>
    <t xml:space="preserve">DSP-01</t>
  </si>
  <si>
    <t xml:space="preserve">Classify all data used in AI training, fine-tuning, and inference by sensitivity level.</t>
  </si>
  <si>
    <t xml:space="preserve">No training data. Inputs are user settings only. No PII. N/A confirmed by Transparency Card.</t>
  </si>
  <si>
    <t xml:space="preserve">DSP-02</t>
  </si>
  <si>
    <t xml:space="preserve">Implement data minimisation — collect only what is necessary for the AI use case.</t>
  </si>
  <si>
    <t xml:space="preserve">Inputs: user settings only. Outputs: visual SNN firing patterns. No PII collected or stored.</t>
  </si>
  <si>
    <t xml:space="preserve">DSP-03</t>
  </si>
  <si>
    <t xml:space="preserve">Define and enforce data retention and deletion policies for AI inputs and outputs.</t>
  </si>
  <si>
    <t xml:space="preserve">No persistent data storage. Outputs are transient screen renderings.</t>
  </si>
  <si>
    <t xml:space="preserve">DSP-04</t>
  </si>
  <si>
    <t xml:space="preserve">Conduct Privacy Impact Assessments for AI systems processing personal data.</t>
  </si>
  <si>
    <t xml:space="preserve">No personal data processed. Confirmed in Transparency Card.</t>
  </si>
  <si>
    <t xml:space="preserve">DSP-05</t>
  </si>
  <si>
    <t xml:space="preserve">Implement controls to detect and prevent sensitive data leakage through AI outputs.</t>
  </si>
  <si>
    <t xml:space="preserve">Outputs are visualisations of neural firing patterns. No sensitive data in scope.</t>
  </si>
  <si>
    <t xml:space="preserve">  GRC  —  Governance, Risk and Compliance</t>
  </si>
  <si>
    <t xml:space="preserve">GRC-01</t>
  </si>
  <si>
    <t xml:space="preserve">Establish an AI governance framework covering accountability, oversight, and risk management.</t>
  </si>
  <si>
    <t xml:space="preserve">NIST AI RMF 1.0 mapping document created and owned by Michael Bilca. Covers GOVERN/MAP/MEASURE/MANAGE.</t>
  </si>
  <si>
    <t xml:space="preserve">GRC-02</t>
  </si>
  <si>
    <t xml:space="preserve">Assign an AI risk owner for each deployed AI system.</t>
  </si>
  <si>
    <t xml:space="preserve">System Owner: Michael Bilca, temper.ai. Documented in Transparency Card.</t>
  </si>
  <si>
    <t xml:space="preserve">GRC-03</t>
  </si>
  <si>
    <t xml:space="preserve">Publish AI Transparency Cards for each AI system.</t>
  </si>
  <si>
    <t xml:space="preserve">Turing Demonstrator Transparency Card complete (Apr 2026). Available on request.</t>
  </si>
  <si>
    <t xml:space="preserve">GRC-04</t>
  </si>
  <si>
    <t xml:space="preserve">Map applicable AI regulations (EU AI Act, DFARS, CCPA, etc.) to each AI system.</t>
  </si>
  <si>
    <t xml:space="preserve">NIST AI RMF mapping doc references DFARS 252.204-7012. Full regulatory register not yet complete.</t>
  </si>
  <si>
    <t xml:space="preserve">GRC-05</t>
  </si>
  <si>
    <t xml:space="preserve">Conduct AI risk assessments prior to deployment and annually thereafter.</t>
  </si>
  <si>
    <t xml:space="preserve">Transparency Card captures risks and residual risks. Formal risk scoring not yet applied.</t>
  </si>
  <si>
    <t xml:space="preserve">GRC-06</t>
  </si>
  <si>
    <t xml:space="preserve">Establish and communicate an organisational AI ethics policy.</t>
  </si>
  <si>
    <t xml:space="preserve">No formal AI ethics policy document. Draft based on temper.ai principles (manifesto.md exists).</t>
  </si>
  <si>
    <t xml:space="preserve">GRC-07</t>
  </si>
  <si>
    <t xml:space="preserve">Review AI governance controls at least annually or upon material system change.</t>
  </si>
  <si>
    <t xml:space="preserve">Review cadence defined (annual). First formal review not yet conducted.</t>
  </si>
  <si>
    <t xml:space="preserve">  HRS  —  Human Resources</t>
  </si>
  <si>
    <t xml:space="preserve">HRS-01</t>
  </si>
  <si>
    <t xml:space="preserve">Include AI security and ethics responsibilities in relevant job descriptions.</t>
  </si>
  <si>
    <t xml:space="preserve">No formal job descriptions with AI responsibilities. Define for any new AI-role hires.</t>
  </si>
  <si>
    <t xml:space="preserve">HRS-02</t>
  </si>
  <si>
    <t xml:space="preserve">Deliver AI security and ethics training to all personnel working on AI systems.</t>
  </si>
  <si>
    <t xml:space="preserve">No formal training programme. Schedule for Q3 2026 alongside SOC 2 prep.</t>
  </si>
  <si>
    <t xml:space="preserve">HRS-03</t>
  </si>
  <si>
    <t xml:space="preserve">Conduct background checks on personnel with privileged access to AI systems and data.</t>
  </si>
  <si>
    <t xml:space="preserve">TS/SCI clearance held by Michael Bilca (system owner). Formal policy not documented.</t>
  </si>
  <si>
    <t xml:space="preserve">  IAM  —  Identity and Access Management</t>
  </si>
  <si>
    <t xml:space="preserve">IAM-01</t>
  </si>
  <si>
    <t xml:space="preserve">Enforce least-privilege access to AI models, training data, and inference infrastructure.</t>
  </si>
  <si>
    <t xml:space="preserve">Small team. Formal RBAC policy not yet documented.</t>
  </si>
  <si>
    <t xml:space="preserve">IAM-02</t>
  </si>
  <si>
    <t xml:space="preserve">Require MFA for all accounts with access to AI systems and model artefacts.</t>
  </si>
  <si>
    <t xml:space="preserve">MFA status not formally verified across all accounts. Review and enforce.</t>
  </si>
  <si>
    <t xml:space="preserve">IAM-03</t>
  </si>
  <si>
    <t xml:space="preserve">Maintain an access register for AI systems with regular access reviews.</t>
  </si>
  <si>
    <t xml:space="preserve">No formal access register. Create as part of NIST 800-171 SSP work.</t>
  </si>
  <si>
    <t xml:space="preserve">IAM-04</t>
  </si>
  <si>
    <t xml:space="preserve">Define and enforce policies for API key and credential management for AI services.</t>
  </si>
  <si>
    <t xml:space="preserve">No external AI API keys for Turing Demonstrator. N/A for this system.</t>
  </si>
  <si>
    <t xml:space="preserve">  IPY  —  Interoperability and Portability</t>
  </si>
  <si>
    <t xml:space="preserve">IPY-01</t>
  </si>
  <si>
    <t xml:space="preserve">Document model export formats and portability options to prevent vendor lock-in.</t>
  </si>
  <si>
    <t xml:space="preserve">In-house SNN. No external platform dependency or export requirement for demo.</t>
  </si>
  <si>
    <t xml:space="preserve">IPY-02</t>
  </si>
  <si>
    <t xml:space="preserve">Ensure AI system interfaces use open or documented standards where practicable.</t>
  </si>
  <si>
    <t xml:space="preserve">Demo app. Interface is visual only. No formal standards requirement.</t>
  </si>
  <si>
    <t xml:space="preserve">  IVS  —  Infrastructure Security</t>
  </si>
  <si>
    <t xml:space="preserve">IVS-01</t>
  </si>
  <si>
    <t xml:space="preserve">Harden AI training and inference infrastructure against known vulnerabilities.</t>
  </si>
  <si>
    <t xml:space="preserve">Demo runs locally. Infrastructure hardening not formally assessed.</t>
  </si>
  <si>
    <t xml:space="preserve">IVS-02</t>
  </si>
  <si>
    <t xml:space="preserve">Segment AI workloads from production networks and sensitive data environments.</t>
  </si>
  <si>
    <t xml:space="preserve">Demo is isolated by design (no real-world I/O). Network segmentation not formally documented.</t>
  </si>
  <si>
    <t xml:space="preserve">IVS-03</t>
  </si>
  <si>
    <t xml:space="preserve">Apply patch management to all infrastructure hosting AI systems.</t>
  </si>
  <si>
    <t xml:space="preserve">No formal patch management policy. Address in NIST 800-171 config management controls.</t>
  </si>
  <si>
    <t xml:space="preserve">  LOG  —  Logging and Monitoring</t>
  </si>
  <si>
    <t xml:space="preserve">LOG-01</t>
  </si>
  <si>
    <t xml:space="preserve">Enable audit logging for all AI system access, queries, and outputs.</t>
  </si>
  <si>
    <t xml:space="preserve">Turing Demonstrator has no audit logging. Not required for demo, but establish policy for production systems.</t>
  </si>
  <si>
    <t xml:space="preserve">LOG-02</t>
  </si>
  <si>
    <t xml:space="preserve">Monitor AI system outputs for anomalies, drift, and unexpected behaviour.</t>
  </si>
  <si>
    <t xml:space="preserve">Demo system. Outputs are visual SNN patterns with no production SLA. N/A.</t>
  </si>
  <si>
    <t xml:space="preserve">LOG-03</t>
  </si>
  <si>
    <t xml:space="preserve">Retain AI system logs for a minimum period aligned with regulatory requirements.</t>
  </si>
  <si>
    <t xml:space="preserve">No regulated data processed. No retention requirement for this system.</t>
  </si>
  <si>
    <t xml:space="preserve">LOG-04</t>
  </si>
  <si>
    <t xml:space="preserve">Define alerting thresholds for AI system performance degradation.</t>
  </si>
  <si>
    <t xml:space="preserve">  MDS  —  Model Security</t>
  </si>
  <si>
    <t xml:space="preserve">MDS-01</t>
  </si>
  <si>
    <t xml:space="preserve">Protect AI model weights and architectures from unauthorised access or theft.</t>
  </si>
  <si>
    <t xml:space="preserve">In-house SNN model. No external exposure. No API. Architecture proprietary to temper.ai.</t>
  </si>
  <si>
    <t xml:space="preserve">MDS-02</t>
  </si>
  <si>
    <t xml:space="preserve">Test AI models for adversarial robustness and resistance to poisoning attacks.</t>
  </si>
  <si>
    <t xml:space="preserve">No real-world data input. Demo only — no attack surface for data poisoning or adversarial input.</t>
  </si>
  <si>
    <t xml:space="preserve">MDS-03</t>
  </si>
  <si>
    <t xml:space="preserve">Document model provenance: training data, fine-tuning, and lineage.</t>
  </si>
  <si>
    <t xml:space="preserve">Transparency Card documents: in-house model, no training data dependency, no third-party models.</t>
  </si>
  <si>
    <t xml:space="preserve">MDS-04</t>
  </si>
  <si>
    <t xml:space="preserve">Implement access controls on model inference endpoints.</t>
  </si>
  <si>
    <t xml:space="preserve">No inference API. Demo runs locally. N/A.</t>
  </si>
  <si>
    <t xml:space="preserve">MDS-05</t>
  </si>
  <si>
    <t xml:space="preserve">Conduct model security testing prior to and after deployment.</t>
  </si>
  <si>
    <t xml:space="preserve">Security Testing: Does not apply (no actual information is exchanged) — documented in Transparency Card.</t>
  </si>
  <si>
    <t xml:space="preserve">MDS-06</t>
  </si>
  <si>
    <t xml:space="preserve">Evaluate models for unintended memorisation of sensitive training data.</t>
  </si>
  <si>
    <t xml:space="preserve">No training data used. SNN architecture with no memorisation risk. N/A.</t>
  </si>
  <si>
    <t xml:space="preserve">  SEF  —  Security Incident Management, E-Discovery &amp; Forensics</t>
  </si>
  <si>
    <t xml:space="preserve">SEF-01</t>
  </si>
  <si>
    <t xml:space="preserve">Establish an AI-specific incident response plan covering model failure, data breach, and output harm.</t>
  </si>
  <si>
    <t xml:space="preserve">No formal AI incident response plan. Define as part of NIST 800-171 IR controls.</t>
  </si>
  <si>
    <t xml:space="preserve">SEF-02</t>
  </si>
  <si>
    <t xml:space="preserve">Define escalation paths for AI safety and security incidents.</t>
  </si>
  <si>
    <t xml:space="preserve">Not documented. Define alongside incident response plan.</t>
  </si>
  <si>
    <t xml:space="preserve">SEF-03</t>
  </si>
  <si>
    <t xml:space="preserve">Conduct post-incident reviews for AI-related events and update risk register.</t>
  </si>
  <si>
    <t xml:space="preserve">Not yet applicable (no incidents). Process to be defined.</t>
  </si>
  <si>
    <t xml:space="preserve">SEF-04</t>
  </si>
  <si>
    <t xml:space="preserve">Notify affected parties and regulators of AI-related incidents per applicable law.</t>
  </si>
  <si>
    <t xml:space="preserve">Notification policy not documented. Include in legal review for CUI customer contracts.</t>
  </si>
  <si>
    <t xml:space="preserve">  STA  —  Supply Chain Management, Transparency and Accountability</t>
  </si>
  <si>
    <t xml:space="preserve">STA-01</t>
  </si>
  <si>
    <t xml:space="preserve">Maintain an inventory of all third-party AI models, APIs, and datasets used.</t>
  </si>
  <si>
    <t xml:space="preserve">Turing Demonstrator: no third-party models. Documented in Transparency Card. Vendor risk register to be built for other systems.</t>
  </si>
  <si>
    <t xml:space="preserve">STA-02</t>
  </si>
  <si>
    <t xml:space="preserve">Assess third-party AI providers for security, privacy, and ethical practices before adoption.</t>
  </si>
  <si>
    <t xml:space="preserve">No third-party AI providers for Turing Demonstrator. Policy to be documented for future integrations.</t>
  </si>
  <si>
    <t xml:space="preserve">STA-03</t>
  </si>
  <si>
    <t xml:space="preserve">Monitor third-party AI model providers for version changes, deprecations, and security notices.</t>
  </si>
  <si>
    <t xml:space="preserve">No third-party dependencies for this system. N/A.</t>
  </si>
  <si>
    <t xml:space="preserve">STA-04</t>
  </si>
  <si>
    <t xml:space="preserve">Publish AI Transparency Cards disclosing model provenance and third-party components.</t>
  </si>
  <si>
    <t xml:space="preserve">Transparency Card published. Covers underlying models, third-party usage, and government approval status.</t>
  </si>
  <si>
    <t xml:space="preserve">STA-05</t>
  </si>
  <si>
    <t xml:space="preserve">Include AI security requirements in third-party contracts and SLAs.</t>
  </si>
  <si>
    <t xml:space="preserve">No current third-party AI contracts for Turing Demonstrator. Apply when expanding platform.</t>
  </si>
  <si>
    <t xml:space="preserve">  TVM  —  Threat and Vulnerability Management</t>
  </si>
  <si>
    <t xml:space="preserve">TVM-01</t>
  </si>
  <si>
    <t xml:space="preserve">Conduct regular vulnerability assessments of AI systems and supporting infrastructure.</t>
  </si>
  <si>
    <t xml:space="preserve">Turing Demonstrator has no attack surface (no real-world I/O, no API). N/A for this system.</t>
  </si>
  <si>
    <t xml:space="preserve">TVM-02</t>
  </si>
  <si>
    <t xml:space="preserve">Track and remediate AI-specific threats: prompt injection, model inversion, membership inference.</t>
  </si>
  <si>
    <t xml:space="preserve">SNN architecture. No LLM, no text interface. These threat classes do not apply to this system.</t>
  </si>
  <si>
    <t xml:space="preserve">TVM-03</t>
  </si>
  <si>
    <t xml:space="preserve">Perform penetration testing of AI-facing interfaces at least annually.</t>
  </si>
  <si>
    <t xml:space="preserve">No production AI interface. Demo only. N/A.</t>
  </si>
  <si>
    <t xml:space="preserve">TVM-04</t>
  </si>
  <si>
    <t xml:space="preserve">Subscribe to AI threat intelligence feeds and incorporate findings into risk management.</t>
  </si>
  <si>
    <t xml:space="preserve">No AI threat intelligence subscription. Low priority for demo systems; revisit for production AI.</t>
  </si>
  <si>
    <t xml:space="preserve">  UEM  —  Universal Endpoint Management</t>
  </si>
  <si>
    <t xml:space="preserve">UEM-01</t>
  </si>
  <si>
    <t xml:space="preserve">Apply endpoint security controls to all devices used for AI development and model access.</t>
  </si>
  <si>
    <t xml:space="preserve">Developer endpoints not formally enrolled in an MDM solution. Review for production AI work.</t>
  </si>
  <si>
    <t xml:space="preserve">UEM-02</t>
  </si>
  <si>
    <t xml:space="preserve">Enforce device compliance checks before allowing access to AI systems and model artefacts.</t>
  </si>
  <si>
    <t xml:space="preserve">No formal device compliance enforcement. Address as part of NIST 800-171 access controls.</t>
  </si>
  <si>
    <t xml:space="preserve">UEM-03</t>
  </si>
  <si>
    <t xml:space="preserve">Implement DLP controls on endpoints to prevent exfiltration of AI model artefacts.</t>
  </si>
  <si>
    <t xml:space="preserve">Small team with physical control of hardware. No formal DLP solution in place.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</si>
</sst>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5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B5E2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375623"/>
      <name val="Arial"/>
      <family val="0"/>
      <charset val="1"/>
    </font>
    <font>
      <sz val="11"/>
      <color rgb="FF7D6608"/>
      <name val="Arial"/>
      <family val="0"/>
      <charset val="1"/>
    </font>
    <font>
      <sz val="11"/>
      <color rgb="FFC0392B"/>
      <name val="Arial"/>
      <family val="0"/>
      <charset val="1"/>
    </font>
    <font>
      <sz val="11"/>
      <color rgb="FF546E7A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7D6608"/>
      <name val="Arial"/>
      <family val="0"/>
      <charset val="1"/>
    </font>
    <font>
      <i val="true"/>
      <sz val="10"/>
      <color rgb="FF44444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D47A1"/>
      <name val="Arial"/>
      <family val="0"/>
      <charset val="1"/>
    </font>
    <font>
      <b val="true"/>
      <sz val="11"/>
      <color rgb="FF546E7A"/>
      <name val="Arial"/>
      <family val="0"/>
      <charset val="1"/>
    </font>
    <font>
      <b val="true"/>
      <sz val="11"/>
      <color rgb="FFE65100"/>
      <name val="Arial"/>
      <family val="0"/>
      <charset val="1"/>
    </font>
    <font>
      <b val="true"/>
      <sz val="11"/>
      <color rgb="FF4A148C"/>
      <name val="Arial"/>
      <family val="0"/>
      <charset val="1"/>
    </font>
    <font>
      <b val="true"/>
      <sz val="11"/>
      <color rgb="FF880E4F"/>
      <name val="Arial"/>
      <family val="0"/>
      <charset val="1"/>
    </font>
    <font>
      <b val="true"/>
      <sz val="11"/>
      <color rgb="FF263238"/>
      <name val="Arial"/>
      <family val="0"/>
      <charset val="1"/>
    </font>
    <font>
      <b val="true"/>
      <sz val="11"/>
      <color rgb="FF006064"/>
      <name val="Arial"/>
      <family val="0"/>
      <charset val="1"/>
    </font>
    <font>
      <b val="true"/>
      <sz val="11"/>
      <color rgb="FF1A237E"/>
      <name val="Arial"/>
      <family val="0"/>
      <charset val="1"/>
    </font>
    <font>
      <b val="true"/>
      <sz val="11"/>
      <color rgb="FFBF360C"/>
      <name val="Arial"/>
      <family val="0"/>
      <charset val="1"/>
    </font>
    <font>
      <b val="true"/>
      <sz val="11"/>
      <color rgb="FFC0392B"/>
      <name val="Arial"/>
      <family val="0"/>
      <charset val="1"/>
    </font>
    <font>
      <b val="true"/>
      <sz val="11"/>
      <color rgb="FF33691E"/>
      <name val="Arial"/>
      <family val="0"/>
      <charset val="1"/>
    </font>
    <font>
      <b val="true"/>
      <sz val="11"/>
      <color rgb="FF311B92"/>
      <name val="Arial"/>
      <family val="0"/>
      <charset val="1"/>
    </font>
    <font>
      <b val="true"/>
      <sz val="11"/>
      <color rgb="FF01579B"/>
      <name val="Arial"/>
      <family val="0"/>
      <charset val="1"/>
    </font>
    <font>
      <b val="true"/>
      <sz val="11"/>
      <color rgb="FFF57F17"/>
      <name val="Arial"/>
      <family val="0"/>
      <charset val="1"/>
    </font>
    <font>
      <b val="true"/>
      <sz val="11"/>
      <color rgb="FF375623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1B5E20"/>
      <name val="Arial"/>
      <family val="0"/>
      <charset val="1"/>
    </font>
    <font>
      <b val="true"/>
      <sz val="10"/>
      <color rgb="FF2E75B6"/>
      <name val="Arial"/>
      <family val="0"/>
      <charset val="1"/>
    </font>
    <font>
      <b val="true"/>
      <sz val="10"/>
      <color rgb="FF7D6608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0"/>
      <color rgb="FF546E7A"/>
      <name val="Arial"/>
      <family val="0"/>
      <charset val="1"/>
    </font>
    <font>
      <b val="true"/>
      <sz val="10"/>
      <color rgb="FF0D47A1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E65100"/>
      <name val="Arial"/>
      <family val="0"/>
      <charset val="1"/>
    </font>
    <font>
      <b val="true"/>
      <sz val="10"/>
      <color rgb="FF4A148C"/>
      <name val="Arial"/>
      <family val="0"/>
      <charset val="1"/>
    </font>
    <font>
      <b val="true"/>
      <sz val="10"/>
      <color rgb="FF880E4F"/>
      <name val="Arial"/>
      <family val="0"/>
      <charset val="1"/>
    </font>
    <font>
      <b val="true"/>
      <sz val="10"/>
      <color rgb="FF263238"/>
      <name val="Arial"/>
      <family val="0"/>
      <charset val="1"/>
    </font>
    <font>
      <b val="true"/>
      <sz val="10"/>
      <color rgb="FF006064"/>
      <name val="Arial"/>
      <family val="0"/>
      <charset val="1"/>
    </font>
    <font>
      <b val="true"/>
      <sz val="10"/>
      <color rgb="FF1A237E"/>
      <name val="Arial"/>
      <family val="0"/>
      <charset val="1"/>
    </font>
    <font>
      <b val="true"/>
      <sz val="10"/>
      <color rgb="FFBF360C"/>
      <name val="Arial"/>
      <family val="0"/>
      <charset val="1"/>
    </font>
    <font>
      <b val="true"/>
      <sz val="10"/>
      <color rgb="FF33691E"/>
      <name val="Arial"/>
      <family val="0"/>
      <charset val="1"/>
    </font>
    <font>
      <b val="true"/>
      <sz val="10"/>
      <color rgb="FF311B92"/>
      <name val="Arial"/>
      <family val="0"/>
      <charset val="1"/>
    </font>
    <font>
      <b val="true"/>
      <sz val="10"/>
      <color rgb="FF01579B"/>
      <name val="Arial"/>
      <family val="0"/>
      <charset val="1"/>
    </font>
    <font>
      <b val="true"/>
      <sz val="10"/>
      <color rgb="FFF57F17"/>
      <name val="Arial"/>
      <family val="0"/>
      <charset val="1"/>
    </font>
  </fonts>
  <fills count="22">
    <fill>
      <patternFill patternType="none"/>
    </fill>
    <fill>
      <patternFill patternType="gray125"/>
    </fill>
    <fill>
      <patternFill patternType="solid">
        <fgColor rgb="FF1F3864"/>
        <bgColor rgb="FF263238"/>
      </patternFill>
    </fill>
    <fill>
      <patternFill patternType="solid">
        <fgColor rgb="FF2E75B6"/>
        <bgColor rgb="FF546E7A"/>
      </patternFill>
    </fill>
    <fill>
      <patternFill patternType="solid">
        <fgColor rgb="FFE8F5E9"/>
        <bgColor rgb="FFECEFF1"/>
      </patternFill>
    </fill>
    <fill>
      <patternFill patternType="solid">
        <fgColor rgb="FFF7F7F7"/>
        <bgColor rgb="FFF9FBE7"/>
      </patternFill>
    </fill>
    <fill>
      <patternFill patternType="solid">
        <fgColor rgb="FFE2EFDA"/>
        <bgColor rgb="FFE8F5E9"/>
      </patternFill>
    </fill>
    <fill>
      <patternFill patternType="solid">
        <fgColor rgb="FFFFF2CC"/>
        <bgColor rgb="FFFFF3E0"/>
      </patternFill>
    </fill>
    <fill>
      <patternFill patternType="solid">
        <fgColor rgb="FFFFE0E0"/>
        <bgColor rgb="FFFCE4EC"/>
      </patternFill>
    </fill>
    <fill>
      <patternFill patternType="solid">
        <fgColor rgb="FFECEFF1"/>
        <bgColor rgb="FFE8EAF6"/>
      </patternFill>
    </fill>
    <fill>
      <patternFill patternType="solid">
        <fgColor rgb="FFE3F2FD"/>
        <bgColor rgb="FFE1F5FE"/>
      </patternFill>
    </fill>
    <fill>
      <patternFill patternType="solid">
        <fgColor rgb="FFFFF3E0"/>
        <bgColor rgb="FFFFF8E1"/>
      </patternFill>
    </fill>
    <fill>
      <patternFill patternType="solid">
        <fgColor rgb="FFF3E5F5"/>
        <bgColor rgb="FFEDE7F6"/>
      </patternFill>
    </fill>
    <fill>
      <patternFill patternType="solid">
        <fgColor rgb="FFFCE4EC"/>
        <bgColor rgb="FFFBE9E7"/>
      </patternFill>
    </fill>
    <fill>
      <patternFill patternType="solid">
        <fgColor rgb="FFE0F7FA"/>
        <bgColor rgb="FFE1F5FE"/>
      </patternFill>
    </fill>
    <fill>
      <patternFill patternType="solid">
        <fgColor rgb="FFE8EAF6"/>
        <bgColor rgb="FFEDE7F6"/>
      </patternFill>
    </fill>
    <fill>
      <patternFill patternType="solid">
        <fgColor rgb="FFFBE9E7"/>
        <bgColor rgb="FFFCE4EC"/>
      </patternFill>
    </fill>
    <fill>
      <patternFill patternType="solid">
        <fgColor rgb="FFF9FBE7"/>
        <bgColor rgb="FFFFF8E1"/>
      </patternFill>
    </fill>
    <fill>
      <patternFill patternType="solid">
        <fgColor rgb="FFEDE7F6"/>
        <bgColor rgb="FFE8EAF6"/>
      </patternFill>
    </fill>
    <fill>
      <patternFill patternType="solid">
        <fgColor rgb="FFE1F5FE"/>
        <bgColor rgb="FFE0F7FA"/>
      </patternFill>
    </fill>
    <fill>
      <patternFill patternType="solid">
        <fgColor rgb="FFFFF8E1"/>
        <bgColor rgb="FFFFF3E0"/>
      </patternFill>
    </fill>
    <fill>
      <patternFill patternType="solid">
        <fgColor rgb="FFFFFFFF"/>
        <bgColor rgb="FFF7F7F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/>
      <top style="thin">
        <color rgb="FFD0D0D0"/>
      </top>
      <bottom style="thin">
        <color rgb="FFD0D0D0"/>
      </bottom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2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2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6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7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0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2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1" fillId="2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3E0"/>
      <rgbColor rgb="FFFF00FF"/>
      <rgbColor rgb="FF00FFFF"/>
      <rgbColor rgb="FF800000"/>
      <rgbColor rgb="FF1B5E20"/>
      <rgbColor rgb="FF1A237E"/>
      <rgbColor rgb="FF7D6608"/>
      <rgbColor rgb="FF880E4F"/>
      <rgbColor rgb="FF006064"/>
      <rgbColor rgb="FFEDE7F6"/>
      <rgbColor rgb="FF808080"/>
      <rgbColor rgb="FFE3F2FD"/>
      <rgbColor rgb="FFC0392B"/>
      <rgbColor rgb="FFFFF8E1"/>
      <rgbColor rgb="FFE0F7FA"/>
      <rgbColor rgb="FF4A148C"/>
      <rgbColor rgb="FFF7F7F7"/>
      <rgbColor rgb="FF01579B"/>
      <rgbColor rgb="FFD0D0D0"/>
      <rgbColor rgb="FF000080"/>
      <rgbColor rgb="FFFF00FF"/>
      <rgbColor rgb="FFF9FBE7"/>
      <rgbColor rgb="FF00FFFF"/>
      <rgbColor rgb="FF800080"/>
      <rgbColor rgb="FF800000"/>
      <rgbColor rgb="FF0D47A1"/>
      <rgbColor rgb="FF0000FF"/>
      <rgbColor rgb="FF00CCFF"/>
      <rgbColor rgb="FFE1F5FE"/>
      <rgbColor rgb="FFE2EFDA"/>
      <rgbColor rgb="FFFFF2CC"/>
      <rgbColor rgb="FFE8EAF6"/>
      <rgbColor rgb="FFFCE4EC"/>
      <rgbColor rgb="FFF3E5F5"/>
      <rgbColor rgb="FFFFE0E0"/>
      <rgbColor rgb="FF2E75B6"/>
      <rgbColor rgb="FF33CCCC"/>
      <rgbColor rgb="FFE8F5E9"/>
      <rgbColor rgb="FFFBE9E7"/>
      <rgbColor rgb="FFF57F17"/>
      <rgbColor rgb="FFE65100"/>
      <rgbColor rgb="FF546E7A"/>
      <rgbColor rgb="FFECEFF1"/>
      <rgbColor rgb="FF1F3864"/>
      <rgbColor rgb="FF33691E"/>
      <rgbColor rgb="FF375623"/>
      <rgbColor rgb="FF444444"/>
      <rgbColor rgb="FFBF360C"/>
      <rgbColor rgb="FF993366"/>
      <rgbColor rgb="FF311B92"/>
      <rgbColor rgb="FF2632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46"/>
    <col collapsed="false" customWidth="true" hidden="false" outlineLevel="0" max="3" min="3" style="0" width="15"/>
    <col collapsed="false" customWidth="true" hidden="false" outlineLevel="0" max="4" min="4" style="0" width="13"/>
    <col collapsed="false" customWidth="true" hidden="false" outlineLevel="0" max="5" min="5" style="0" width="10"/>
    <col collapsed="false" customWidth="true" hidden="false" outlineLevel="0" max="6" min="6" style="0" width="8"/>
    <col collapsed="false" customWidth="true" hidden="false" outlineLevel="0" max="7" min="7" style="0" width="16"/>
    <col collapsed="false" customWidth="true" hidden="false" outlineLevel="0" max="8" min="8" style="0" width="12"/>
    <col collapsed="false" customWidth="true" hidden="false" outlineLevel="0" max="9" min="9" style="0" width="16"/>
    <col collapsed="false" customWidth="true" hidden="false" outlineLevel="0" max="10" min="10" style="0" width="44"/>
    <col collapsed="false" customWidth="true" hidden="false" outlineLevel="0" max="11" min="11" style="0" width="18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7.5" hidden="false" customHeight="true" outlineLevel="0" collapsed="false"/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36" hidden="false" customHeight="true" outlineLevel="0" collapsed="false">
      <c r="A5" s="4" t="s">
        <v>13</v>
      </c>
      <c r="B5" s="5" t="s">
        <v>14</v>
      </c>
      <c r="C5" s="6" t="n">
        <f aca="false">COUNTIF('Gap Assessment'!A:A,"AA")</f>
        <v>5</v>
      </c>
      <c r="D5" s="7" t="n">
        <f aca="false">COUNTIFS('Gap Assessment'!A:A,"AA",'Gap Assessment'!E:E,"Implemented")</f>
        <v>0</v>
      </c>
      <c r="E5" s="8" t="n">
        <f aca="false">COUNTIFS('Gap Assessment'!A:A,"AA",'Gap Assessment'!E:E,"Partial")</f>
        <v>2</v>
      </c>
      <c r="F5" s="9" t="n">
        <f aca="false">COUNTIFS('Gap Assessment'!A:A,"AA",'Gap Assessment'!E:E,"Gap")</f>
        <v>2</v>
      </c>
      <c r="G5" s="10" t="n">
        <f aca="false">COUNTIFS('Gap Assessment'!A:A,"AA",'Gap Assessment'!E:E,"Not Applicable")</f>
        <v>1</v>
      </c>
      <c r="H5" s="11" t="n">
        <f aca="false">IF(C5=0,0,(D5+E5*0.5)/C5)</f>
        <v>0.2</v>
      </c>
      <c r="I5" s="12" t="s">
        <v>6</v>
      </c>
      <c r="J5" s="13" t="s">
        <v>15</v>
      </c>
      <c r="K5" s="14" t="s">
        <v>16</v>
      </c>
    </row>
    <row r="6" customFormat="false" ht="36" hidden="false" customHeight="true" outlineLevel="0" collapsed="false">
      <c r="A6" s="15" t="s">
        <v>17</v>
      </c>
      <c r="B6" s="16" t="s">
        <v>18</v>
      </c>
      <c r="C6" s="6" t="n">
        <f aca="false">COUNTIF('Gap Assessment'!A:A,"AIS")</f>
        <v>5</v>
      </c>
      <c r="D6" s="7" t="n">
        <f aca="false">COUNTIFS('Gap Assessment'!A:A,"AIS",'Gap Assessment'!E:E,"Implemented")</f>
        <v>1</v>
      </c>
      <c r="E6" s="8" t="n">
        <f aca="false">COUNTIFS('Gap Assessment'!A:A,"AIS",'Gap Assessment'!E:E,"Partial")</f>
        <v>0</v>
      </c>
      <c r="F6" s="9" t="n">
        <f aca="false">COUNTIFS('Gap Assessment'!A:A,"AIS",'Gap Assessment'!E:E,"Gap")</f>
        <v>0</v>
      </c>
      <c r="G6" s="10" t="n">
        <f aca="false">COUNTIFS('Gap Assessment'!A:A,"AIS",'Gap Assessment'!E:E,"Not Applicable")</f>
        <v>4</v>
      </c>
      <c r="H6" s="11" t="n">
        <f aca="false">IF(C6=0,0,(D6+E6*0.5)/C6)</f>
        <v>0.2</v>
      </c>
      <c r="I6" s="17" t="s">
        <v>8</v>
      </c>
      <c r="J6" s="13" t="s">
        <v>19</v>
      </c>
      <c r="K6" s="14" t="s">
        <v>20</v>
      </c>
    </row>
    <row r="7" customFormat="false" ht="36" hidden="false" customHeight="true" outlineLevel="0" collapsed="false">
      <c r="A7" s="18" t="s">
        <v>21</v>
      </c>
      <c r="B7" s="19" t="s">
        <v>22</v>
      </c>
      <c r="C7" s="6" t="n">
        <f aca="false">COUNTIF('Gap Assessment'!A:A,"BCR")</f>
        <v>4</v>
      </c>
      <c r="D7" s="7" t="n">
        <f aca="false">COUNTIFS('Gap Assessment'!A:A,"BCR",'Gap Assessment'!E:E,"Implemented")</f>
        <v>1</v>
      </c>
      <c r="E7" s="8" t="n">
        <f aca="false">COUNTIFS('Gap Assessment'!A:A,"BCR",'Gap Assessment'!E:E,"Partial")</f>
        <v>1</v>
      </c>
      <c r="F7" s="9" t="n">
        <f aca="false">COUNTIFS('Gap Assessment'!A:A,"BCR",'Gap Assessment'!E:E,"Gap")</f>
        <v>0</v>
      </c>
      <c r="G7" s="10" t="n">
        <f aca="false">COUNTIFS('Gap Assessment'!A:A,"BCR",'Gap Assessment'!E:E,"Not Applicable")</f>
        <v>2</v>
      </c>
      <c r="H7" s="11" t="n">
        <f aca="false">IF(C7=0,0,(D7+E7*0.5)/C7)</f>
        <v>0.375</v>
      </c>
      <c r="I7" s="17" t="s">
        <v>8</v>
      </c>
      <c r="J7" s="13" t="s">
        <v>23</v>
      </c>
      <c r="K7" s="14" t="s">
        <v>20</v>
      </c>
    </row>
    <row r="8" customFormat="false" ht="36" hidden="false" customHeight="true" outlineLevel="0" collapsed="false">
      <c r="A8" s="20" t="s">
        <v>24</v>
      </c>
      <c r="B8" s="21" t="s">
        <v>25</v>
      </c>
      <c r="C8" s="6" t="n">
        <f aca="false">COUNTIF('Gap Assessment'!A:A,"CCC")</f>
        <v>4</v>
      </c>
      <c r="D8" s="7" t="n">
        <f aca="false">COUNTIFS('Gap Assessment'!A:A,"CCC",'Gap Assessment'!E:E,"Implemented")</f>
        <v>0</v>
      </c>
      <c r="E8" s="8" t="n">
        <f aca="false">COUNTIFS('Gap Assessment'!A:A,"CCC",'Gap Assessment'!E:E,"Partial")</f>
        <v>2</v>
      </c>
      <c r="F8" s="9" t="n">
        <f aca="false">COUNTIFS('Gap Assessment'!A:A,"CCC",'Gap Assessment'!E:E,"Gap")</f>
        <v>2</v>
      </c>
      <c r="G8" s="10" t="n">
        <f aca="false">COUNTIFS('Gap Assessment'!A:A,"CCC",'Gap Assessment'!E:E,"Not Applicable")</f>
        <v>0</v>
      </c>
      <c r="H8" s="11" t="n">
        <f aca="false">IF(C8=0,0,(D8+E8*0.5)/C8)</f>
        <v>0.25</v>
      </c>
      <c r="I8" s="12" t="s">
        <v>6</v>
      </c>
      <c r="J8" s="13" t="s">
        <v>26</v>
      </c>
      <c r="K8" s="14" t="s">
        <v>16</v>
      </c>
    </row>
    <row r="9" customFormat="false" ht="36" hidden="false" customHeight="true" outlineLevel="0" collapsed="false">
      <c r="A9" s="22" t="s">
        <v>27</v>
      </c>
      <c r="B9" s="23" t="s">
        <v>28</v>
      </c>
      <c r="C9" s="6" t="n">
        <f aca="false">COUNTIF('Gap Assessment'!A:A,"CEK")</f>
        <v>3</v>
      </c>
      <c r="D9" s="7" t="n">
        <f aca="false">COUNTIFS('Gap Assessment'!A:A,"CEK",'Gap Assessment'!E:E,"Implemented")</f>
        <v>0</v>
      </c>
      <c r="E9" s="8" t="n">
        <f aca="false">COUNTIFS('Gap Assessment'!A:A,"CEK",'Gap Assessment'!E:E,"Partial")</f>
        <v>0</v>
      </c>
      <c r="F9" s="9" t="n">
        <f aca="false">COUNTIFS('Gap Assessment'!A:A,"CEK",'Gap Assessment'!E:E,"Gap")</f>
        <v>0</v>
      </c>
      <c r="G9" s="10" t="n">
        <f aca="false">COUNTIFS('Gap Assessment'!A:A,"CEK",'Gap Assessment'!E:E,"Not Applicable")</f>
        <v>3</v>
      </c>
      <c r="H9" s="11" t="n">
        <f aca="false">IF(C9=0,0,(D9+E9*0.5)/C9)</f>
        <v>0</v>
      </c>
      <c r="I9" s="17" t="s">
        <v>8</v>
      </c>
      <c r="J9" s="13" t="s">
        <v>29</v>
      </c>
      <c r="K9" s="14" t="s">
        <v>20</v>
      </c>
    </row>
    <row r="10" customFormat="false" ht="36" hidden="false" customHeight="true" outlineLevel="0" collapsed="false">
      <c r="A10" s="24" t="s">
        <v>30</v>
      </c>
      <c r="B10" s="25" t="s">
        <v>31</v>
      </c>
      <c r="C10" s="6" t="n">
        <f aca="false">COUNTIF('Gap Assessment'!A:A,"DCS")</f>
        <v>2</v>
      </c>
      <c r="D10" s="7" t="n">
        <f aca="false">COUNTIFS('Gap Assessment'!A:A,"DCS",'Gap Assessment'!E:E,"Implemented")</f>
        <v>0</v>
      </c>
      <c r="E10" s="8" t="n">
        <f aca="false">COUNTIFS('Gap Assessment'!A:A,"DCS",'Gap Assessment'!E:E,"Partial")</f>
        <v>1</v>
      </c>
      <c r="F10" s="9" t="n">
        <f aca="false">COUNTIFS('Gap Assessment'!A:A,"DCS",'Gap Assessment'!E:E,"Gap")</f>
        <v>0</v>
      </c>
      <c r="G10" s="10" t="n">
        <f aca="false">COUNTIFS('Gap Assessment'!A:A,"DCS",'Gap Assessment'!E:E,"Not Applicable")</f>
        <v>1</v>
      </c>
      <c r="H10" s="11" t="n">
        <f aca="false">IF(C10=0,0,(D10+E10*0.5)/C10)</f>
        <v>0.25</v>
      </c>
      <c r="I10" s="17" t="s">
        <v>8</v>
      </c>
      <c r="J10" s="13" t="s">
        <v>32</v>
      </c>
      <c r="K10" s="14" t="s">
        <v>20</v>
      </c>
    </row>
    <row r="11" customFormat="false" ht="36" hidden="false" customHeight="true" outlineLevel="0" collapsed="false">
      <c r="A11" s="26" t="s">
        <v>33</v>
      </c>
      <c r="B11" s="27" t="s">
        <v>34</v>
      </c>
      <c r="C11" s="6" t="n">
        <f aca="false">COUNTIF('Gap Assessment'!A:A,"DSP")</f>
        <v>5</v>
      </c>
      <c r="D11" s="7" t="n">
        <f aca="false">COUNTIFS('Gap Assessment'!A:A,"DSP",'Gap Assessment'!E:E,"Implemented")</f>
        <v>1</v>
      </c>
      <c r="E11" s="8" t="n">
        <f aca="false">COUNTIFS('Gap Assessment'!A:A,"DSP",'Gap Assessment'!E:E,"Partial")</f>
        <v>0</v>
      </c>
      <c r="F11" s="9" t="n">
        <f aca="false">COUNTIFS('Gap Assessment'!A:A,"DSP",'Gap Assessment'!E:E,"Gap")</f>
        <v>0</v>
      </c>
      <c r="G11" s="10" t="n">
        <f aca="false">COUNTIFS('Gap Assessment'!A:A,"DSP",'Gap Assessment'!E:E,"Not Applicable")</f>
        <v>4</v>
      </c>
      <c r="H11" s="11" t="n">
        <f aca="false">IF(C11=0,0,(D11+E11*0.5)/C11)</f>
        <v>0.2</v>
      </c>
      <c r="I11" s="17" t="s">
        <v>8</v>
      </c>
      <c r="J11" s="13" t="s">
        <v>35</v>
      </c>
      <c r="K11" s="14" t="s">
        <v>20</v>
      </c>
    </row>
    <row r="12" customFormat="false" ht="36" hidden="false" customHeight="true" outlineLevel="0" collapsed="false">
      <c r="A12" s="28" t="s">
        <v>36</v>
      </c>
      <c r="B12" s="29" t="s">
        <v>37</v>
      </c>
      <c r="C12" s="6" t="n">
        <f aca="false">COUNTIF('Gap Assessment'!A:A,"GRC")</f>
        <v>7</v>
      </c>
      <c r="D12" s="7" t="n">
        <f aca="false">COUNTIFS('Gap Assessment'!A:A,"GRC",'Gap Assessment'!E:E,"Implemented")</f>
        <v>3</v>
      </c>
      <c r="E12" s="8" t="n">
        <f aca="false">COUNTIFS('Gap Assessment'!A:A,"GRC",'Gap Assessment'!E:E,"Partial")</f>
        <v>3</v>
      </c>
      <c r="F12" s="9" t="n">
        <f aca="false">COUNTIFS('Gap Assessment'!A:A,"GRC",'Gap Assessment'!E:E,"Gap")</f>
        <v>1</v>
      </c>
      <c r="G12" s="10" t="n">
        <f aca="false">COUNTIFS('Gap Assessment'!A:A,"GRC",'Gap Assessment'!E:E,"Not Applicable")</f>
        <v>0</v>
      </c>
      <c r="H12" s="11" t="n">
        <f aca="false">IF(C12=0,0,(D12+E12*0.5)/C12)</f>
        <v>0.642857142857143</v>
      </c>
      <c r="I12" s="12" t="s">
        <v>6</v>
      </c>
      <c r="J12" s="13" t="s">
        <v>38</v>
      </c>
      <c r="K12" s="14" t="s">
        <v>16</v>
      </c>
    </row>
    <row r="13" customFormat="false" ht="36" hidden="false" customHeight="true" outlineLevel="0" collapsed="false">
      <c r="A13" s="30" t="s">
        <v>39</v>
      </c>
      <c r="B13" s="31" t="s">
        <v>40</v>
      </c>
      <c r="C13" s="6" t="n">
        <f aca="false">COUNTIF('Gap Assessment'!A:A,"HRS")</f>
        <v>3</v>
      </c>
      <c r="D13" s="7" t="n">
        <f aca="false">COUNTIFS('Gap Assessment'!A:A,"HRS",'Gap Assessment'!E:E,"Implemented")</f>
        <v>0</v>
      </c>
      <c r="E13" s="8" t="n">
        <f aca="false">COUNTIFS('Gap Assessment'!A:A,"HRS",'Gap Assessment'!E:E,"Partial")</f>
        <v>1</v>
      </c>
      <c r="F13" s="9" t="n">
        <f aca="false">COUNTIFS('Gap Assessment'!A:A,"HRS",'Gap Assessment'!E:E,"Gap")</f>
        <v>2</v>
      </c>
      <c r="G13" s="10" t="n">
        <f aca="false">COUNTIFS('Gap Assessment'!A:A,"HRS",'Gap Assessment'!E:E,"Not Applicable")</f>
        <v>0</v>
      </c>
      <c r="H13" s="11" t="n">
        <f aca="false">IF(C13=0,0,(D13+E13*0.5)/C13)</f>
        <v>0.166666666666667</v>
      </c>
      <c r="I13" s="32" t="s">
        <v>7</v>
      </c>
      <c r="J13" s="13" t="s">
        <v>41</v>
      </c>
      <c r="K13" s="14" t="s">
        <v>20</v>
      </c>
    </row>
    <row r="14" customFormat="false" ht="36" hidden="false" customHeight="true" outlineLevel="0" collapsed="false">
      <c r="A14" s="33" t="s">
        <v>42</v>
      </c>
      <c r="B14" s="34" t="s">
        <v>43</v>
      </c>
      <c r="C14" s="6" t="n">
        <f aca="false">COUNTIF('Gap Assessment'!A:A,"IAM")</f>
        <v>4</v>
      </c>
      <c r="D14" s="7" t="n">
        <f aca="false">COUNTIFS('Gap Assessment'!A:A,"IAM",'Gap Assessment'!E:E,"Implemented")</f>
        <v>0</v>
      </c>
      <c r="E14" s="8" t="n">
        <f aca="false">COUNTIFS('Gap Assessment'!A:A,"IAM",'Gap Assessment'!E:E,"Partial")</f>
        <v>1</v>
      </c>
      <c r="F14" s="9" t="n">
        <f aca="false">COUNTIFS('Gap Assessment'!A:A,"IAM",'Gap Assessment'!E:E,"Gap")</f>
        <v>2</v>
      </c>
      <c r="G14" s="10" t="n">
        <f aca="false">COUNTIFS('Gap Assessment'!A:A,"IAM",'Gap Assessment'!E:E,"Not Applicable")</f>
        <v>1</v>
      </c>
      <c r="H14" s="11" t="n">
        <f aca="false">IF(C14=0,0,(D14+E14*0.5)/C14)</f>
        <v>0.125</v>
      </c>
      <c r="I14" s="32" t="s">
        <v>7</v>
      </c>
      <c r="J14" s="13" t="s">
        <v>44</v>
      </c>
      <c r="K14" s="14" t="s">
        <v>20</v>
      </c>
    </row>
    <row r="15" customFormat="false" ht="36" hidden="false" customHeight="true" outlineLevel="0" collapsed="false">
      <c r="A15" s="35" t="s">
        <v>45</v>
      </c>
      <c r="B15" s="36" t="s">
        <v>46</v>
      </c>
      <c r="C15" s="6" t="n">
        <f aca="false">COUNTIF('Gap Assessment'!A:A,"IPY")</f>
        <v>2</v>
      </c>
      <c r="D15" s="7" t="n">
        <f aca="false">COUNTIFS('Gap Assessment'!A:A,"IPY",'Gap Assessment'!E:E,"Implemented")</f>
        <v>0</v>
      </c>
      <c r="E15" s="8" t="n">
        <f aca="false">COUNTIFS('Gap Assessment'!A:A,"IPY",'Gap Assessment'!E:E,"Partial")</f>
        <v>1</v>
      </c>
      <c r="F15" s="9" t="n">
        <f aca="false">COUNTIFS('Gap Assessment'!A:A,"IPY",'Gap Assessment'!E:E,"Gap")</f>
        <v>0</v>
      </c>
      <c r="G15" s="10" t="n">
        <f aca="false">COUNTIFS('Gap Assessment'!A:A,"IPY",'Gap Assessment'!E:E,"Not Applicable")</f>
        <v>1</v>
      </c>
      <c r="H15" s="11" t="n">
        <f aca="false">IF(C15=0,0,(D15+E15*0.5)/C15)</f>
        <v>0.25</v>
      </c>
      <c r="I15" s="17" t="s">
        <v>8</v>
      </c>
      <c r="J15" s="13" t="s">
        <v>47</v>
      </c>
      <c r="K15" s="14" t="s">
        <v>20</v>
      </c>
    </row>
    <row r="16" customFormat="false" ht="36" hidden="false" customHeight="true" outlineLevel="0" collapsed="false">
      <c r="A16" s="37" t="s">
        <v>48</v>
      </c>
      <c r="B16" s="38" t="s">
        <v>49</v>
      </c>
      <c r="C16" s="6" t="n">
        <f aca="false">COUNTIF('Gap Assessment'!A:A,"IVS")</f>
        <v>3</v>
      </c>
      <c r="D16" s="7" t="n">
        <f aca="false">COUNTIFS('Gap Assessment'!A:A,"IVS",'Gap Assessment'!E:E,"Implemented")</f>
        <v>0</v>
      </c>
      <c r="E16" s="8" t="n">
        <f aca="false">COUNTIFS('Gap Assessment'!A:A,"IVS",'Gap Assessment'!E:E,"Partial")</f>
        <v>3</v>
      </c>
      <c r="F16" s="9" t="n">
        <f aca="false">COUNTIFS('Gap Assessment'!A:A,"IVS",'Gap Assessment'!E:E,"Gap")</f>
        <v>0</v>
      </c>
      <c r="G16" s="10" t="n">
        <f aca="false">COUNTIFS('Gap Assessment'!A:A,"IVS",'Gap Assessment'!E:E,"Not Applicable")</f>
        <v>0</v>
      </c>
      <c r="H16" s="11" t="n">
        <f aca="false">IF(C16=0,0,(D16+E16*0.5)/C16)</f>
        <v>0.5</v>
      </c>
      <c r="I16" s="12" t="s">
        <v>6</v>
      </c>
      <c r="J16" s="13" t="s">
        <v>50</v>
      </c>
      <c r="K16" s="14" t="s">
        <v>16</v>
      </c>
    </row>
    <row r="17" customFormat="false" ht="36" hidden="false" customHeight="true" outlineLevel="0" collapsed="false">
      <c r="A17" s="39" t="s">
        <v>51</v>
      </c>
      <c r="B17" s="40" t="s">
        <v>52</v>
      </c>
      <c r="C17" s="6" t="n">
        <f aca="false">COUNTIF('Gap Assessment'!A:A,"LOG")</f>
        <v>4</v>
      </c>
      <c r="D17" s="7" t="n">
        <f aca="false">COUNTIFS('Gap Assessment'!A:A,"LOG",'Gap Assessment'!E:E,"Implemented")</f>
        <v>0</v>
      </c>
      <c r="E17" s="8" t="n">
        <f aca="false">COUNTIFS('Gap Assessment'!A:A,"LOG",'Gap Assessment'!E:E,"Partial")</f>
        <v>0</v>
      </c>
      <c r="F17" s="9" t="n">
        <f aca="false">COUNTIFS('Gap Assessment'!A:A,"LOG",'Gap Assessment'!E:E,"Gap")</f>
        <v>1</v>
      </c>
      <c r="G17" s="10" t="n">
        <f aca="false">COUNTIFS('Gap Assessment'!A:A,"LOG",'Gap Assessment'!E:E,"Not Applicable")</f>
        <v>3</v>
      </c>
      <c r="H17" s="11" t="n">
        <f aca="false">IF(C17=0,0,(D17+E17*0.5)/C17)</f>
        <v>0</v>
      </c>
      <c r="I17" s="17" t="s">
        <v>8</v>
      </c>
      <c r="J17" s="13" t="s">
        <v>53</v>
      </c>
      <c r="K17" s="14" t="s">
        <v>20</v>
      </c>
    </row>
    <row r="18" customFormat="false" ht="36" hidden="false" customHeight="true" outlineLevel="0" collapsed="false">
      <c r="A18" s="4" t="s">
        <v>54</v>
      </c>
      <c r="B18" s="5" t="s">
        <v>55</v>
      </c>
      <c r="C18" s="6" t="n">
        <f aca="false">COUNTIF('Gap Assessment'!A:A,"MDS")</f>
        <v>6</v>
      </c>
      <c r="D18" s="7" t="n">
        <f aca="false">COUNTIFS('Gap Assessment'!A:A,"MDS",'Gap Assessment'!E:E,"Implemented")</f>
        <v>4</v>
      </c>
      <c r="E18" s="8" t="n">
        <f aca="false">COUNTIFS('Gap Assessment'!A:A,"MDS",'Gap Assessment'!E:E,"Partial")</f>
        <v>0</v>
      </c>
      <c r="F18" s="9" t="n">
        <f aca="false">COUNTIFS('Gap Assessment'!A:A,"MDS",'Gap Assessment'!E:E,"Gap")</f>
        <v>0</v>
      </c>
      <c r="G18" s="10" t="n">
        <f aca="false">COUNTIFS('Gap Assessment'!A:A,"MDS",'Gap Assessment'!E:E,"Not Applicable")</f>
        <v>2</v>
      </c>
      <c r="H18" s="11" t="n">
        <f aca="false">IF(C18=0,0,(D18+E18*0.5)/C18)</f>
        <v>0.666666666666667</v>
      </c>
      <c r="I18" s="41" t="s">
        <v>5</v>
      </c>
      <c r="J18" s="13" t="s">
        <v>56</v>
      </c>
      <c r="K18" s="14" t="s">
        <v>16</v>
      </c>
    </row>
    <row r="19" customFormat="false" ht="36" hidden="false" customHeight="true" outlineLevel="0" collapsed="false">
      <c r="A19" s="22" t="s">
        <v>57</v>
      </c>
      <c r="B19" s="23" t="s">
        <v>58</v>
      </c>
      <c r="C19" s="6" t="n">
        <f aca="false">COUNTIF('Gap Assessment'!A:A,"SEF")</f>
        <v>4</v>
      </c>
      <c r="D19" s="7" t="n">
        <f aca="false">COUNTIFS('Gap Assessment'!A:A,"SEF",'Gap Assessment'!E:E,"Implemented")</f>
        <v>0</v>
      </c>
      <c r="E19" s="8" t="n">
        <f aca="false">COUNTIFS('Gap Assessment'!A:A,"SEF",'Gap Assessment'!E:E,"Partial")</f>
        <v>0</v>
      </c>
      <c r="F19" s="9" t="n">
        <f aca="false">COUNTIFS('Gap Assessment'!A:A,"SEF",'Gap Assessment'!E:E,"Gap")</f>
        <v>4</v>
      </c>
      <c r="G19" s="10" t="n">
        <f aca="false">COUNTIFS('Gap Assessment'!A:A,"SEF",'Gap Assessment'!E:E,"Not Applicable")</f>
        <v>0</v>
      </c>
      <c r="H19" s="11" t="n">
        <f aca="false">IF(C19=0,0,(D19+E19*0.5)/C19)</f>
        <v>0</v>
      </c>
      <c r="I19" s="32" t="s">
        <v>7</v>
      </c>
      <c r="J19" s="13" t="s">
        <v>59</v>
      </c>
      <c r="K19" s="14" t="s">
        <v>20</v>
      </c>
    </row>
    <row r="20" customFormat="false" ht="36" hidden="false" customHeight="true" outlineLevel="0" collapsed="false">
      <c r="A20" s="15" t="s">
        <v>60</v>
      </c>
      <c r="B20" s="16" t="s">
        <v>61</v>
      </c>
      <c r="C20" s="6" t="n">
        <f aca="false">COUNTIF('Gap Assessment'!A:A,"STA")</f>
        <v>5</v>
      </c>
      <c r="D20" s="7" t="n">
        <f aca="false">COUNTIFS('Gap Assessment'!A:A,"STA",'Gap Assessment'!E:E,"Implemented")</f>
        <v>3</v>
      </c>
      <c r="E20" s="8" t="n">
        <f aca="false">COUNTIFS('Gap Assessment'!A:A,"STA",'Gap Assessment'!E:E,"Partial")</f>
        <v>0</v>
      </c>
      <c r="F20" s="9" t="n">
        <f aca="false">COUNTIFS('Gap Assessment'!A:A,"STA",'Gap Assessment'!E:E,"Gap")</f>
        <v>0</v>
      </c>
      <c r="G20" s="10" t="n">
        <f aca="false">COUNTIFS('Gap Assessment'!A:A,"STA",'Gap Assessment'!E:E,"Not Applicable")</f>
        <v>2</v>
      </c>
      <c r="H20" s="11" t="n">
        <f aca="false">IF(C20=0,0,(D20+E20*0.5)/C20)</f>
        <v>0.6</v>
      </c>
      <c r="I20" s="41" t="s">
        <v>5</v>
      </c>
      <c r="J20" s="13" t="s">
        <v>62</v>
      </c>
      <c r="K20" s="14" t="s">
        <v>16</v>
      </c>
    </row>
    <row r="21" customFormat="false" ht="36" hidden="false" customHeight="true" outlineLevel="0" collapsed="false">
      <c r="A21" s="18" t="s">
        <v>63</v>
      </c>
      <c r="B21" s="19" t="s">
        <v>64</v>
      </c>
      <c r="C21" s="6" t="n">
        <f aca="false">COUNTIF('Gap Assessment'!A:A,"TVM")</f>
        <v>4</v>
      </c>
      <c r="D21" s="7" t="n">
        <f aca="false">COUNTIFS('Gap Assessment'!A:A,"TVM",'Gap Assessment'!E:E,"Implemented")</f>
        <v>0</v>
      </c>
      <c r="E21" s="8" t="n">
        <f aca="false">COUNTIFS('Gap Assessment'!A:A,"TVM",'Gap Assessment'!E:E,"Partial")</f>
        <v>0</v>
      </c>
      <c r="F21" s="9" t="n">
        <f aca="false">COUNTIFS('Gap Assessment'!A:A,"TVM",'Gap Assessment'!E:E,"Gap")</f>
        <v>1</v>
      </c>
      <c r="G21" s="10" t="n">
        <f aca="false">COUNTIFS('Gap Assessment'!A:A,"TVM",'Gap Assessment'!E:E,"Not Applicable")</f>
        <v>3</v>
      </c>
      <c r="H21" s="11" t="n">
        <f aca="false">IF(C21=0,0,(D21+E21*0.5)/C21)</f>
        <v>0</v>
      </c>
      <c r="I21" s="17" t="s">
        <v>8</v>
      </c>
      <c r="J21" s="13" t="s">
        <v>65</v>
      </c>
      <c r="K21" s="14" t="s">
        <v>20</v>
      </c>
    </row>
    <row r="22" customFormat="false" ht="36" hidden="false" customHeight="true" outlineLevel="0" collapsed="false">
      <c r="A22" s="24" t="s">
        <v>66</v>
      </c>
      <c r="B22" s="25" t="s">
        <v>67</v>
      </c>
      <c r="C22" s="6" t="n">
        <f aca="false">COUNTIF('Gap Assessment'!A:A,"UEM")</f>
        <v>3</v>
      </c>
      <c r="D22" s="7" t="n">
        <f aca="false">COUNTIFS('Gap Assessment'!A:A,"UEM",'Gap Assessment'!E:E,"Implemented")</f>
        <v>0</v>
      </c>
      <c r="E22" s="8" t="n">
        <f aca="false">COUNTIFS('Gap Assessment'!A:A,"UEM",'Gap Assessment'!E:E,"Partial")</f>
        <v>2</v>
      </c>
      <c r="F22" s="9" t="n">
        <f aca="false">COUNTIFS('Gap Assessment'!A:A,"UEM",'Gap Assessment'!E:E,"Gap")</f>
        <v>1</v>
      </c>
      <c r="G22" s="10" t="n">
        <f aca="false">COUNTIFS('Gap Assessment'!A:A,"UEM",'Gap Assessment'!E:E,"Not Applicable")</f>
        <v>0</v>
      </c>
      <c r="H22" s="11" t="n">
        <f aca="false">IF(C22=0,0,(D22+E22*0.5)/C22)</f>
        <v>0.333333333333333</v>
      </c>
      <c r="I22" s="12" t="s">
        <v>6</v>
      </c>
      <c r="J22" s="13" t="s">
        <v>68</v>
      </c>
      <c r="K22" s="14" t="s">
        <v>16</v>
      </c>
    </row>
    <row r="23" customFormat="false" ht="9.75" hidden="false" customHeight="true" outlineLevel="0" collapsed="false"/>
    <row r="24" customFormat="false" ht="15" hidden="false" customHeight="false" outlineLevel="0" collapsed="false">
      <c r="A24" s="42" t="s">
        <v>69</v>
      </c>
      <c r="B24" s="43" t="s">
        <v>70</v>
      </c>
      <c r="C24" s="43"/>
      <c r="D24" s="43"/>
      <c r="E24" s="43"/>
      <c r="F24" s="43"/>
      <c r="G24" s="43"/>
      <c r="H24" s="43"/>
      <c r="I24" s="43"/>
      <c r="J24" s="43"/>
      <c r="K24" s="43"/>
    </row>
    <row r="25" customFormat="false" ht="18" hidden="false" customHeight="true" outlineLevel="0" collapsed="false">
      <c r="A25" s="41" t="s">
        <v>5</v>
      </c>
      <c r="B25" s="44" t="s">
        <v>71</v>
      </c>
      <c r="C25" s="44"/>
      <c r="D25" s="44"/>
      <c r="E25" s="44"/>
      <c r="F25" s="44"/>
      <c r="G25" s="44"/>
      <c r="H25" s="44"/>
      <c r="I25" s="44"/>
      <c r="J25" s="44"/>
      <c r="K25" s="44"/>
    </row>
    <row r="26" customFormat="false" ht="18" hidden="false" customHeight="true" outlineLevel="0" collapsed="false">
      <c r="A26" s="12" t="s">
        <v>6</v>
      </c>
      <c r="B26" s="45" t="s">
        <v>72</v>
      </c>
      <c r="C26" s="45"/>
      <c r="D26" s="45"/>
      <c r="E26" s="45"/>
      <c r="F26" s="45"/>
      <c r="G26" s="45"/>
      <c r="H26" s="45"/>
      <c r="I26" s="45"/>
      <c r="J26" s="45"/>
      <c r="K26" s="45"/>
    </row>
    <row r="27" customFormat="false" ht="18" hidden="false" customHeight="true" outlineLevel="0" collapsed="false">
      <c r="A27" s="32" t="s">
        <v>7</v>
      </c>
      <c r="B27" s="46" t="s">
        <v>73</v>
      </c>
      <c r="C27" s="46"/>
      <c r="D27" s="46"/>
      <c r="E27" s="46"/>
      <c r="F27" s="46"/>
      <c r="G27" s="46"/>
      <c r="H27" s="46"/>
      <c r="I27" s="46"/>
      <c r="J27" s="46"/>
      <c r="K27" s="46"/>
    </row>
    <row r="28" customFormat="false" ht="18" hidden="false" customHeight="true" outlineLevel="0" collapsed="false">
      <c r="A28" s="17" t="s">
        <v>8</v>
      </c>
      <c r="B28" s="47" t="s">
        <v>74</v>
      </c>
      <c r="C28" s="47"/>
      <c r="D28" s="47"/>
      <c r="E28" s="47"/>
      <c r="F28" s="47"/>
      <c r="G28" s="47"/>
      <c r="H28" s="47"/>
      <c r="I28" s="47"/>
      <c r="J28" s="47"/>
      <c r="K28" s="47"/>
    </row>
  </sheetData>
  <mergeCells count="7">
    <mergeCell ref="A1:K1"/>
    <mergeCell ref="A2:K2"/>
    <mergeCell ref="B24:K24"/>
    <mergeCell ref="B25:K25"/>
    <mergeCell ref="B26:K26"/>
    <mergeCell ref="B27:K27"/>
    <mergeCell ref="B28:K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1"/>
    <col collapsed="false" customWidth="true" hidden="false" outlineLevel="0" max="4" min="3" style="0" width="52"/>
    <col collapsed="false" customWidth="true" hidden="false" outlineLevel="0" max="5" min="5" style="0" width="18"/>
    <col collapsed="false" customWidth="true" hidden="false" outlineLevel="0" max="6" min="6" style="0" width="10"/>
    <col collapsed="false" customWidth="true" hidden="false" outlineLevel="0" max="7" min="7" style="0" width="18"/>
    <col collapsed="false" customWidth="true" hidden="false" outlineLevel="0" max="8" min="8" style="0" width="30"/>
  </cols>
  <sheetData>
    <row r="1" customFormat="false" ht="27.75" hidden="false" customHeight="true" outlineLevel="0" collapsed="false">
      <c r="A1" s="48" t="s">
        <v>75</v>
      </c>
      <c r="B1" s="48"/>
      <c r="C1" s="48"/>
      <c r="D1" s="48"/>
      <c r="E1" s="48"/>
      <c r="F1" s="48"/>
      <c r="G1" s="48"/>
      <c r="H1" s="48"/>
    </row>
    <row r="2" customFormat="false" ht="18" hidden="false" customHeight="true" outlineLevel="0" collapsed="false">
      <c r="A2" s="2" t="s">
        <v>76</v>
      </c>
      <c r="B2" s="2"/>
      <c r="C2" s="2"/>
      <c r="D2" s="2"/>
      <c r="E2" s="2"/>
      <c r="F2" s="2"/>
      <c r="G2" s="2"/>
      <c r="H2" s="2"/>
    </row>
    <row r="3" customFormat="false" ht="24" hidden="false" customHeight="true" outlineLevel="0" collapsed="false">
      <c r="A3" s="3" t="s">
        <v>3</v>
      </c>
      <c r="B3" s="3" t="s">
        <v>77</v>
      </c>
      <c r="C3" s="3" t="s">
        <v>78</v>
      </c>
      <c r="D3" s="3" t="s">
        <v>79</v>
      </c>
      <c r="E3" s="3" t="s">
        <v>80</v>
      </c>
      <c r="F3" s="3" t="s">
        <v>81</v>
      </c>
      <c r="G3" s="3" t="s">
        <v>12</v>
      </c>
      <c r="H3" s="3" t="s">
        <v>82</v>
      </c>
    </row>
    <row r="4" customFormat="false" ht="19.5" hidden="false" customHeight="true" outlineLevel="0" collapsed="false">
      <c r="A4" s="49" t="s">
        <v>83</v>
      </c>
      <c r="B4" s="49"/>
      <c r="C4" s="49"/>
      <c r="D4" s="49"/>
      <c r="E4" s="49"/>
      <c r="F4" s="49"/>
      <c r="G4" s="49"/>
      <c r="H4" s="49"/>
    </row>
    <row r="5" customFormat="false" ht="42" hidden="false" customHeight="true" outlineLevel="0" collapsed="false">
      <c r="A5" s="50" t="s">
        <v>13</v>
      </c>
      <c r="B5" s="51" t="s">
        <v>84</v>
      </c>
      <c r="C5" s="52" t="s">
        <v>85</v>
      </c>
      <c r="D5" s="53" t="s">
        <v>86</v>
      </c>
      <c r="E5" s="54" t="s">
        <v>6</v>
      </c>
      <c r="F5" s="55" t="s">
        <v>87</v>
      </c>
      <c r="G5" s="14" t="s">
        <v>16</v>
      </c>
      <c r="H5" s="52"/>
    </row>
    <row r="6" customFormat="false" ht="42" hidden="false" customHeight="true" outlineLevel="0" collapsed="false">
      <c r="A6" s="50" t="s">
        <v>13</v>
      </c>
      <c r="B6" s="51" t="s">
        <v>88</v>
      </c>
      <c r="C6" s="52" t="s">
        <v>89</v>
      </c>
      <c r="D6" s="53" t="s">
        <v>90</v>
      </c>
      <c r="E6" s="55" t="s">
        <v>7</v>
      </c>
      <c r="F6" s="55" t="s">
        <v>87</v>
      </c>
      <c r="G6" s="14" t="s">
        <v>20</v>
      </c>
      <c r="H6" s="52"/>
    </row>
    <row r="7" customFormat="false" ht="42" hidden="false" customHeight="true" outlineLevel="0" collapsed="false">
      <c r="A7" s="50" t="s">
        <v>13</v>
      </c>
      <c r="B7" s="51" t="s">
        <v>91</v>
      </c>
      <c r="C7" s="52" t="s">
        <v>92</v>
      </c>
      <c r="D7" s="53" t="s">
        <v>93</v>
      </c>
      <c r="E7" s="54" t="s">
        <v>6</v>
      </c>
      <c r="F7" s="54" t="s">
        <v>94</v>
      </c>
      <c r="G7" s="14" t="s">
        <v>16</v>
      </c>
      <c r="H7" s="52"/>
    </row>
    <row r="8" customFormat="false" ht="42" hidden="false" customHeight="true" outlineLevel="0" collapsed="false">
      <c r="A8" s="50" t="s">
        <v>13</v>
      </c>
      <c r="B8" s="51" t="s">
        <v>95</v>
      </c>
      <c r="C8" s="52" t="s">
        <v>96</v>
      </c>
      <c r="D8" s="53" t="s">
        <v>97</v>
      </c>
      <c r="E8" s="55" t="s">
        <v>7</v>
      </c>
      <c r="F8" s="54" t="s">
        <v>94</v>
      </c>
      <c r="G8" s="14" t="s">
        <v>20</v>
      </c>
      <c r="H8" s="52"/>
    </row>
    <row r="9" customFormat="false" ht="42" hidden="false" customHeight="true" outlineLevel="0" collapsed="false">
      <c r="A9" s="50" t="s">
        <v>13</v>
      </c>
      <c r="B9" s="51" t="s">
        <v>98</v>
      </c>
      <c r="C9" s="52" t="s">
        <v>99</v>
      </c>
      <c r="D9" s="53" t="s">
        <v>100</v>
      </c>
      <c r="E9" s="56" t="s">
        <v>8</v>
      </c>
      <c r="F9" s="56" t="s">
        <v>101</v>
      </c>
      <c r="G9" s="14" t="s">
        <v>102</v>
      </c>
      <c r="H9" s="52"/>
    </row>
    <row r="10" customFormat="false" ht="19.5" hidden="false" customHeight="true" outlineLevel="0" collapsed="false">
      <c r="A10" s="57" t="s">
        <v>103</v>
      </c>
      <c r="B10" s="57"/>
      <c r="C10" s="57"/>
      <c r="D10" s="57"/>
      <c r="E10" s="57"/>
      <c r="F10" s="57"/>
      <c r="G10" s="57"/>
      <c r="H10" s="57"/>
    </row>
    <row r="11" customFormat="false" ht="42" hidden="false" customHeight="true" outlineLevel="0" collapsed="false">
      <c r="A11" s="58" t="s">
        <v>17</v>
      </c>
      <c r="B11" s="51" t="s">
        <v>104</v>
      </c>
      <c r="C11" s="52" t="s">
        <v>105</v>
      </c>
      <c r="D11" s="53" t="s">
        <v>106</v>
      </c>
      <c r="E11" s="56" t="s">
        <v>8</v>
      </c>
      <c r="F11" s="56" t="s">
        <v>101</v>
      </c>
      <c r="G11" s="14" t="s">
        <v>102</v>
      </c>
      <c r="H11" s="52"/>
    </row>
    <row r="12" customFormat="false" ht="42" hidden="false" customHeight="true" outlineLevel="0" collapsed="false">
      <c r="A12" s="58" t="s">
        <v>17</v>
      </c>
      <c r="B12" s="51" t="s">
        <v>107</v>
      </c>
      <c r="C12" s="52" t="s">
        <v>108</v>
      </c>
      <c r="D12" s="53" t="s">
        <v>109</v>
      </c>
      <c r="E12" s="56" t="s">
        <v>8</v>
      </c>
      <c r="F12" s="56" t="s">
        <v>101</v>
      </c>
      <c r="G12" s="14" t="s">
        <v>102</v>
      </c>
      <c r="H12" s="52"/>
    </row>
    <row r="13" customFormat="false" ht="42" hidden="false" customHeight="true" outlineLevel="0" collapsed="false">
      <c r="A13" s="58" t="s">
        <v>17</v>
      </c>
      <c r="B13" s="51" t="s">
        <v>110</v>
      </c>
      <c r="C13" s="52" t="s">
        <v>111</v>
      </c>
      <c r="D13" s="53" t="s">
        <v>112</v>
      </c>
      <c r="E13" s="56" t="s">
        <v>8</v>
      </c>
      <c r="F13" s="56" t="s">
        <v>101</v>
      </c>
      <c r="G13" s="14" t="s">
        <v>102</v>
      </c>
      <c r="H13" s="52"/>
    </row>
    <row r="14" customFormat="false" ht="42" hidden="false" customHeight="true" outlineLevel="0" collapsed="false">
      <c r="A14" s="58" t="s">
        <v>17</v>
      </c>
      <c r="B14" s="51" t="s">
        <v>113</v>
      </c>
      <c r="C14" s="52" t="s">
        <v>114</v>
      </c>
      <c r="D14" s="53" t="s">
        <v>115</v>
      </c>
      <c r="E14" s="56" t="s">
        <v>8</v>
      </c>
      <c r="F14" s="56" t="s">
        <v>101</v>
      </c>
      <c r="G14" s="14" t="s">
        <v>102</v>
      </c>
      <c r="H14" s="52"/>
    </row>
    <row r="15" customFormat="false" ht="42" hidden="false" customHeight="true" outlineLevel="0" collapsed="false">
      <c r="A15" s="58" t="s">
        <v>17</v>
      </c>
      <c r="B15" s="51" t="s">
        <v>116</v>
      </c>
      <c r="C15" s="52" t="s">
        <v>117</v>
      </c>
      <c r="D15" s="53" t="s">
        <v>118</v>
      </c>
      <c r="E15" s="59" t="s">
        <v>5</v>
      </c>
      <c r="F15" s="56" t="s">
        <v>101</v>
      </c>
      <c r="G15" s="14" t="s">
        <v>16</v>
      </c>
      <c r="H15" s="52"/>
    </row>
    <row r="16" customFormat="false" ht="19.5" hidden="false" customHeight="true" outlineLevel="0" collapsed="false">
      <c r="A16" s="60" t="s">
        <v>119</v>
      </c>
      <c r="B16" s="60"/>
      <c r="C16" s="60"/>
      <c r="D16" s="60"/>
      <c r="E16" s="60"/>
      <c r="F16" s="60"/>
      <c r="G16" s="60"/>
      <c r="H16" s="60"/>
    </row>
    <row r="17" customFormat="false" ht="42" hidden="false" customHeight="true" outlineLevel="0" collapsed="false">
      <c r="A17" s="61" t="s">
        <v>21</v>
      </c>
      <c r="B17" s="51" t="s">
        <v>120</v>
      </c>
      <c r="C17" s="52" t="s">
        <v>121</v>
      </c>
      <c r="D17" s="53" t="s">
        <v>122</v>
      </c>
      <c r="E17" s="56" t="s">
        <v>8</v>
      </c>
      <c r="F17" s="56" t="s">
        <v>101</v>
      </c>
      <c r="G17" s="14" t="s">
        <v>102</v>
      </c>
      <c r="H17" s="52"/>
    </row>
    <row r="18" customFormat="false" ht="42" hidden="false" customHeight="true" outlineLevel="0" collapsed="false">
      <c r="A18" s="61" t="s">
        <v>21</v>
      </c>
      <c r="B18" s="51" t="s">
        <v>123</v>
      </c>
      <c r="C18" s="52" t="s">
        <v>124</v>
      </c>
      <c r="D18" s="53" t="s">
        <v>125</v>
      </c>
      <c r="E18" s="56" t="s">
        <v>8</v>
      </c>
      <c r="F18" s="56" t="s">
        <v>101</v>
      </c>
      <c r="G18" s="14" t="s">
        <v>102</v>
      </c>
      <c r="H18" s="52"/>
    </row>
    <row r="19" customFormat="false" ht="42" hidden="false" customHeight="true" outlineLevel="0" collapsed="false">
      <c r="A19" s="61" t="s">
        <v>21</v>
      </c>
      <c r="B19" s="51" t="s">
        <v>126</v>
      </c>
      <c r="C19" s="52" t="s">
        <v>127</v>
      </c>
      <c r="D19" s="53" t="s">
        <v>128</v>
      </c>
      <c r="E19" s="54" t="s">
        <v>6</v>
      </c>
      <c r="F19" s="54" t="s">
        <v>94</v>
      </c>
      <c r="G19" s="14" t="s">
        <v>16</v>
      </c>
      <c r="H19" s="52"/>
    </row>
    <row r="20" customFormat="false" ht="42" hidden="false" customHeight="true" outlineLevel="0" collapsed="false">
      <c r="A20" s="61" t="s">
        <v>21</v>
      </c>
      <c r="B20" s="51" t="s">
        <v>129</v>
      </c>
      <c r="C20" s="52" t="s">
        <v>130</v>
      </c>
      <c r="D20" s="53" t="s">
        <v>131</v>
      </c>
      <c r="E20" s="59" t="s">
        <v>5</v>
      </c>
      <c r="F20" s="56" t="s">
        <v>101</v>
      </c>
      <c r="G20" s="14" t="s">
        <v>16</v>
      </c>
      <c r="H20" s="52"/>
    </row>
    <row r="21" customFormat="false" ht="19.5" hidden="false" customHeight="true" outlineLevel="0" collapsed="false">
      <c r="A21" s="62" t="s">
        <v>132</v>
      </c>
      <c r="B21" s="62"/>
      <c r="C21" s="62"/>
      <c r="D21" s="62"/>
      <c r="E21" s="62"/>
      <c r="F21" s="62"/>
      <c r="G21" s="62"/>
      <c r="H21" s="62"/>
    </row>
    <row r="22" customFormat="false" ht="42" hidden="false" customHeight="true" outlineLevel="0" collapsed="false">
      <c r="A22" s="63" t="s">
        <v>24</v>
      </c>
      <c r="B22" s="51" t="s">
        <v>133</v>
      </c>
      <c r="C22" s="52" t="s">
        <v>134</v>
      </c>
      <c r="D22" s="53" t="s">
        <v>135</v>
      </c>
      <c r="E22" s="54" t="s">
        <v>6</v>
      </c>
      <c r="F22" s="55" t="s">
        <v>87</v>
      </c>
      <c r="G22" s="14" t="s">
        <v>16</v>
      </c>
      <c r="H22" s="52"/>
    </row>
    <row r="23" customFormat="false" ht="42" hidden="false" customHeight="true" outlineLevel="0" collapsed="false">
      <c r="A23" s="63" t="s">
        <v>24</v>
      </c>
      <c r="B23" s="51" t="s">
        <v>136</v>
      </c>
      <c r="C23" s="52" t="s">
        <v>137</v>
      </c>
      <c r="D23" s="53" t="s">
        <v>138</v>
      </c>
      <c r="E23" s="55" t="s">
        <v>7</v>
      </c>
      <c r="F23" s="55" t="s">
        <v>87</v>
      </c>
      <c r="G23" s="14" t="s">
        <v>20</v>
      </c>
      <c r="H23" s="52"/>
    </row>
    <row r="24" customFormat="false" ht="42" hidden="false" customHeight="true" outlineLevel="0" collapsed="false">
      <c r="A24" s="63" t="s">
        <v>24</v>
      </c>
      <c r="B24" s="51" t="s">
        <v>139</v>
      </c>
      <c r="C24" s="52" t="s">
        <v>140</v>
      </c>
      <c r="D24" s="53" t="s">
        <v>141</v>
      </c>
      <c r="E24" s="55" t="s">
        <v>7</v>
      </c>
      <c r="F24" s="54" t="s">
        <v>94</v>
      </c>
      <c r="G24" s="14" t="s">
        <v>20</v>
      </c>
      <c r="H24" s="52"/>
    </row>
    <row r="25" customFormat="false" ht="42" hidden="false" customHeight="true" outlineLevel="0" collapsed="false">
      <c r="A25" s="63" t="s">
        <v>24</v>
      </c>
      <c r="B25" s="51" t="s">
        <v>142</v>
      </c>
      <c r="C25" s="52" t="s">
        <v>143</v>
      </c>
      <c r="D25" s="53" t="s">
        <v>144</v>
      </c>
      <c r="E25" s="54" t="s">
        <v>6</v>
      </c>
      <c r="F25" s="54" t="s">
        <v>94</v>
      </c>
      <c r="G25" s="14" t="s">
        <v>16</v>
      </c>
      <c r="H25" s="52"/>
    </row>
    <row r="26" customFormat="false" ht="19.5" hidden="false" customHeight="true" outlineLevel="0" collapsed="false">
      <c r="A26" s="64" t="s">
        <v>145</v>
      </c>
      <c r="B26" s="64"/>
      <c r="C26" s="64"/>
      <c r="D26" s="64"/>
      <c r="E26" s="64"/>
      <c r="F26" s="64"/>
      <c r="G26" s="64"/>
      <c r="H26" s="64"/>
    </row>
    <row r="27" customFormat="false" ht="42" hidden="false" customHeight="true" outlineLevel="0" collapsed="false">
      <c r="A27" s="65" t="s">
        <v>27</v>
      </c>
      <c r="B27" s="51" t="s">
        <v>146</v>
      </c>
      <c r="C27" s="52" t="s">
        <v>147</v>
      </c>
      <c r="D27" s="53" t="s">
        <v>148</v>
      </c>
      <c r="E27" s="56" t="s">
        <v>8</v>
      </c>
      <c r="F27" s="56" t="s">
        <v>101</v>
      </c>
      <c r="G27" s="14" t="s">
        <v>102</v>
      </c>
      <c r="H27" s="52"/>
    </row>
    <row r="28" customFormat="false" ht="42" hidden="false" customHeight="true" outlineLevel="0" collapsed="false">
      <c r="A28" s="65" t="s">
        <v>27</v>
      </c>
      <c r="B28" s="51" t="s">
        <v>149</v>
      </c>
      <c r="C28" s="52" t="s">
        <v>150</v>
      </c>
      <c r="D28" s="53" t="s">
        <v>151</v>
      </c>
      <c r="E28" s="56" t="s">
        <v>8</v>
      </c>
      <c r="F28" s="56" t="s">
        <v>101</v>
      </c>
      <c r="G28" s="14" t="s">
        <v>102</v>
      </c>
      <c r="H28" s="52"/>
    </row>
    <row r="29" customFormat="false" ht="42" hidden="false" customHeight="true" outlineLevel="0" collapsed="false">
      <c r="A29" s="65" t="s">
        <v>27</v>
      </c>
      <c r="B29" s="51" t="s">
        <v>152</v>
      </c>
      <c r="C29" s="52" t="s">
        <v>153</v>
      </c>
      <c r="D29" s="53" t="s">
        <v>154</v>
      </c>
      <c r="E29" s="56" t="s">
        <v>8</v>
      </c>
      <c r="F29" s="56" t="s">
        <v>101</v>
      </c>
      <c r="G29" s="14" t="s">
        <v>102</v>
      </c>
      <c r="H29" s="52"/>
    </row>
    <row r="30" customFormat="false" ht="19.5" hidden="false" customHeight="true" outlineLevel="0" collapsed="false">
      <c r="A30" s="66" t="s">
        <v>155</v>
      </c>
      <c r="B30" s="66"/>
      <c r="C30" s="66"/>
      <c r="D30" s="66"/>
      <c r="E30" s="66"/>
      <c r="F30" s="66"/>
      <c r="G30" s="66"/>
      <c r="H30" s="66"/>
    </row>
    <row r="31" customFormat="false" ht="42" hidden="false" customHeight="true" outlineLevel="0" collapsed="false">
      <c r="A31" s="67" t="s">
        <v>30</v>
      </c>
      <c r="B31" s="51" t="s">
        <v>156</v>
      </c>
      <c r="C31" s="52" t="s">
        <v>157</v>
      </c>
      <c r="D31" s="53" t="s">
        <v>158</v>
      </c>
      <c r="E31" s="56" t="s">
        <v>8</v>
      </c>
      <c r="F31" s="56" t="s">
        <v>101</v>
      </c>
      <c r="G31" s="14" t="s">
        <v>102</v>
      </c>
      <c r="H31" s="52"/>
    </row>
    <row r="32" customFormat="false" ht="42" hidden="false" customHeight="true" outlineLevel="0" collapsed="false">
      <c r="A32" s="67" t="s">
        <v>30</v>
      </c>
      <c r="B32" s="51" t="s">
        <v>159</v>
      </c>
      <c r="C32" s="52" t="s">
        <v>160</v>
      </c>
      <c r="D32" s="53" t="s">
        <v>161</v>
      </c>
      <c r="E32" s="54" t="s">
        <v>6</v>
      </c>
      <c r="F32" s="56" t="s">
        <v>101</v>
      </c>
      <c r="G32" s="14" t="s">
        <v>16</v>
      </c>
      <c r="H32" s="52"/>
    </row>
    <row r="33" customFormat="false" ht="19.5" hidden="false" customHeight="true" outlineLevel="0" collapsed="false">
      <c r="A33" s="68" t="s">
        <v>162</v>
      </c>
      <c r="B33" s="68"/>
      <c r="C33" s="68"/>
      <c r="D33" s="68"/>
      <c r="E33" s="68"/>
      <c r="F33" s="68"/>
      <c r="G33" s="68"/>
      <c r="H33" s="68"/>
    </row>
    <row r="34" customFormat="false" ht="42" hidden="false" customHeight="true" outlineLevel="0" collapsed="false">
      <c r="A34" s="69" t="s">
        <v>33</v>
      </c>
      <c r="B34" s="51" t="s">
        <v>163</v>
      </c>
      <c r="C34" s="52" t="s">
        <v>164</v>
      </c>
      <c r="D34" s="53" t="s">
        <v>165</v>
      </c>
      <c r="E34" s="56" t="s">
        <v>8</v>
      </c>
      <c r="F34" s="56" t="s">
        <v>101</v>
      </c>
      <c r="G34" s="14" t="s">
        <v>102</v>
      </c>
      <c r="H34" s="52"/>
    </row>
    <row r="35" customFormat="false" ht="42" hidden="false" customHeight="true" outlineLevel="0" collapsed="false">
      <c r="A35" s="69" t="s">
        <v>33</v>
      </c>
      <c r="B35" s="51" t="s">
        <v>166</v>
      </c>
      <c r="C35" s="52" t="s">
        <v>167</v>
      </c>
      <c r="D35" s="53" t="s">
        <v>168</v>
      </c>
      <c r="E35" s="59" t="s">
        <v>5</v>
      </c>
      <c r="F35" s="56" t="s">
        <v>101</v>
      </c>
      <c r="G35" s="14" t="s">
        <v>16</v>
      </c>
      <c r="H35" s="52"/>
    </row>
    <row r="36" customFormat="false" ht="42" hidden="false" customHeight="true" outlineLevel="0" collapsed="false">
      <c r="A36" s="69" t="s">
        <v>33</v>
      </c>
      <c r="B36" s="51" t="s">
        <v>169</v>
      </c>
      <c r="C36" s="52" t="s">
        <v>170</v>
      </c>
      <c r="D36" s="53" t="s">
        <v>171</v>
      </c>
      <c r="E36" s="56" t="s">
        <v>8</v>
      </c>
      <c r="F36" s="56" t="s">
        <v>101</v>
      </c>
      <c r="G36" s="14" t="s">
        <v>102</v>
      </c>
      <c r="H36" s="52"/>
    </row>
    <row r="37" customFormat="false" ht="42" hidden="false" customHeight="true" outlineLevel="0" collapsed="false">
      <c r="A37" s="69" t="s">
        <v>33</v>
      </c>
      <c r="B37" s="51" t="s">
        <v>172</v>
      </c>
      <c r="C37" s="52" t="s">
        <v>173</v>
      </c>
      <c r="D37" s="53" t="s">
        <v>174</v>
      </c>
      <c r="E37" s="56" t="s">
        <v>8</v>
      </c>
      <c r="F37" s="56" t="s">
        <v>101</v>
      </c>
      <c r="G37" s="14" t="s">
        <v>102</v>
      </c>
      <c r="H37" s="52"/>
    </row>
    <row r="38" customFormat="false" ht="42" hidden="false" customHeight="true" outlineLevel="0" collapsed="false">
      <c r="A38" s="69" t="s">
        <v>33</v>
      </c>
      <c r="B38" s="51" t="s">
        <v>175</v>
      </c>
      <c r="C38" s="52" t="s">
        <v>176</v>
      </c>
      <c r="D38" s="53" t="s">
        <v>177</v>
      </c>
      <c r="E38" s="56" t="s">
        <v>8</v>
      </c>
      <c r="F38" s="56" t="s">
        <v>101</v>
      </c>
      <c r="G38" s="14" t="s">
        <v>102</v>
      </c>
      <c r="H38" s="52"/>
    </row>
    <row r="39" customFormat="false" ht="19.5" hidden="false" customHeight="true" outlineLevel="0" collapsed="false">
      <c r="A39" s="70" t="s">
        <v>178</v>
      </c>
      <c r="B39" s="70"/>
      <c r="C39" s="70"/>
      <c r="D39" s="70"/>
      <c r="E39" s="70"/>
      <c r="F39" s="70"/>
      <c r="G39" s="70"/>
      <c r="H39" s="70"/>
    </row>
    <row r="40" customFormat="false" ht="42" hidden="false" customHeight="true" outlineLevel="0" collapsed="false">
      <c r="A40" s="71" t="s">
        <v>36</v>
      </c>
      <c r="B40" s="51" t="s">
        <v>179</v>
      </c>
      <c r="C40" s="52" t="s">
        <v>180</v>
      </c>
      <c r="D40" s="53" t="s">
        <v>181</v>
      </c>
      <c r="E40" s="59" t="s">
        <v>5</v>
      </c>
      <c r="F40" s="55" t="s">
        <v>87</v>
      </c>
      <c r="G40" s="14" t="s">
        <v>16</v>
      </c>
      <c r="H40" s="52"/>
    </row>
    <row r="41" customFormat="false" ht="42" hidden="false" customHeight="true" outlineLevel="0" collapsed="false">
      <c r="A41" s="71" t="s">
        <v>36</v>
      </c>
      <c r="B41" s="51" t="s">
        <v>182</v>
      </c>
      <c r="C41" s="52" t="s">
        <v>183</v>
      </c>
      <c r="D41" s="53" t="s">
        <v>184</v>
      </c>
      <c r="E41" s="59" t="s">
        <v>5</v>
      </c>
      <c r="F41" s="55" t="s">
        <v>87</v>
      </c>
      <c r="G41" s="14" t="s">
        <v>16</v>
      </c>
      <c r="H41" s="52"/>
    </row>
    <row r="42" customFormat="false" ht="42" hidden="false" customHeight="true" outlineLevel="0" collapsed="false">
      <c r="A42" s="71" t="s">
        <v>36</v>
      </c>
      <c r="B42" s="51" t="s">
        <v>185</v>
      </c>
      <c r="C42" s="52" t="s">
        <v>186</v>
      </c>
      <c r="D42" s="53" t="s">
        <v>187</v>
      </c>
      <c r="E42" s="59" t="s">
        <v>5</v>
      </c>
      <c r="F42" s="55" t="s">
        <v>87</v>
      </c>
      <c r="G42" s="14" t="s">
        <v>16</v>
      </c>
      <c r="H42" s="52"/>
    </row>
    <row r="43" customFormat="false" ht="42" hidden="false" customHeight="true" outlineLevel="0" collapsed="false">
      <c r="A43" s="71" t="s">
        <v>36</v>
      </c>
      <c r="B43" s="51" t="s">
        <v>188</v>
      </c>
      <c r="C43" s="52" t="s">
        <v>189</v>
      </c>
      <c r="D43" s="53" t="s">
        <v>190</v>
      </c>
      <c r="E43" s="54" t="s">
        <v>6</v>
      </c>
      <c r="F43" s="55" t="s">
        <v>87</v>
      </c>
      <c r="G43" s="14" t="s">
        <v>16</v>
      </c>
      <c r="H43" s="52"/>
    </row>
    <row r="44" customFormat="false" ht="42" hidden="false" customHeight="true" outlineLevel="0" collapsed="false">
      <c r="A44" s="71" t="s">
        <v>36</v>
      </c>
      <c r="B44" s="51" t="s">
        <v>191</v>
      </c>
      <c r="C44" s="52" t="s">
        <v>192</v>
      </c>
      <c r="D44" s="53" t="s">
        <v>193</v>
      </c>
      <c r="E44" s="54" t="s">
        <v>6</v>
      </c>
      <c r="F44" s="55" t="s">
        <v>87</v>
      </c>
      <c r="G44" s="14" t="s">
        <v>16</v>
      </c>
      <c r="H44" s="52"/>
    </row>
    <row r="45" customFormat="false" ht="42" hidden="false" customHeight="true" outlineLevel="0" collapsed="false">
      <c r="A45" s="71" t="s">
        <v>36</v>
      </c>
      <c r="B45" s="51" t="s">
        <v>194</v>
      </c>
      <c r="C45" s="52" t="s">
        <v>195</v>
      </c>
      <c r="D45" s="53" t="s">
        <v>196</v>
      </c>
      <c r="E45" s="55" t="s">
        <v>7</v>
      </c>
      <c r="F45" s="54" t="s">
        <v>94</v>
      </c>
      <c r="G45" s="14" t="s">
        <v>20</v>
      </c>
      <c r="H45" s="52"/>
    </row>
    <row r="46" customFormat="false" ht="42" hidden="false" customHeight="true" outlineLevel="0" collapsed="false">
      <c r="A46" s="71" t="s">
        <v>36</v>
      </c>
      <c r="B46" s="51" t="s">
        <v>197</v>
      </c>
      <c r="C46" s="52" t="s">
        <v>198</v>
      </c>
      <c r="D46" s="53" t="s">
        <v>199</v>
      </c>
      <c r="E46" s="54" t="s">
        <v>6</v>
      </c>
      <c r="F46" s="54" t="s">
        <v>94</v>
      </c>
      <c r="G46" s="14" t="s">
        <v>16</v>
      </c>
      <c r="H46" s="52"/>
    </row>
    <row r="47" customFormat="false" ht="19.5" hidden="false" customHeight="true" outlineLevel="0" collapsed="false">
      <c r="A47" s="72" t="s">
        <v>200</v>
      </c>
      <c r="B47" s="72"/>
      <c r="C47" s="72"/>
      <c r="D47" s="72"/>
      <c r="E47" s="72"/>
      <c r="F47" s="72"/>
      <c r="G47" s="72"/>
      <c r="H47" s="72"/>
    </row>
    <row r="48" customFormat="false" ht="42" hidden="false" customHeight="true" outlineLevel="0" collapsed="false">
      <c r="A48" s="73" t="s">
        <v>39</v>
      </c>
      <c r="B48" s="51" t="s">
        <v>201</v>
      </c>
      <c r="C48" s="52" t="s">
        <v>202</v>
      </c>
      <c r="D48" s="53" t="s">
        <v>203</v>
      </c>
      <c r="E48" s="55" t="s">
        <v>7</v>
      </c>
      <c r="F48" s="54" t="s">
        <v>94</v>
      </c>
      <c r="G48" s="14" t="s">
        <v>20</v>
      </c>
      <c r="H48" s="52"/>
    </row>
    <row r="49" customFormat="false" ht="42" hidden="false" customHeight="true" outlineLevel="0" collapsed="false">
      <c r="A49" s="73" t="s">
        <v>39</v>
      </c>
      <c r="B49" s="51" t="s">
        <v>204</v>
      </c>
      <c r="C49" s="52" t="s">
        <v>205</v>
      </c>
      <c r="D49" s="53" t="s">
        <v>206</v>
      </c>
      <c r="E49" s="55" t="s">
        <v>7</v>
      </c>
      <c r="F49" s="55" t="s">
        <v>87</v>
      </c>
      <c r="G49" s="14" t="s">
        <v>20</v>
      </c>
      <c r="H49" s="52"/>
    </row>
    <row r="50" customFormat="false" ht="42" hidden="false" customHeight="true" outlineLevel="0" collapsed="false">
      <c r="A50" s="73" t="s">
        <v>39</v>
      </c>
      <c r="B50" s="51" t="s">
        <v>207</v>
      </c>
      <c r="C50" s="52" t="s">
        <v>208</v>
      </c>
      <c r="D50" s="53" t="s">
        <v>209</v>
      </c>
      <c r="E50" s="54" t="s">
        <v>6</v>
      </c>
      <c r="F50" s="55" t="s">
        <v>87</v>
      </c>
      <c r="G50" s="14" t="s">
        <v>16</v>
      </c>
      <c r="H50" s="52"/>
    </row>
    <row r="51" customFormat="false" ht="19.5" hidden="false" customHeight="true" outlineLevel="0" collapsed="false">
      <c r="A51" s="74" t="s">
        <v>210</v>
      </c>
      <c r="B51" s="74"/>
      <c r="C51" s="74"/>
      <c r="D51" s="74"/>
      <c r="E51" s="74"/>
      <c r="F51" s="74"/>
      <c r="G51" s="74"/>
      <c r="H51" s="74"/>
    </row>
    <row r="52" customFormat="false" ht="42" hidden="false" customHeight="true" outlineLevel="0" collapsed="false">
      <c r="A52" s="75" t="s">
        <v>42</v>
      </c>
      <c r="B52" s="51" t="s">
        <v>211</v>
      </c>
      <c r="C52" s="52" t="s">
        <v>212</v>
      </c>
      <c r="D52" s="53" t="s">
        <v>213</v>
      </c>
      <c r="E52" s="54" t="s">
        <v>6</v>
      </c>
      <c r="F52" s="55" t="s">
        <v>87</v>
      </c>
      <c r="G52" s="14" t="s">
        <v>20</v>
      </c>
      <c r="H52" s="52"/>
    </row>
    <row r="53" customFormat="false" ht="42" hidden="false" customHeight="true" outlineLevel="0" collapsed="false">
      <c r="A53" s="75" t="s">
        <v>42</v>
      </c>
      <c r="B53" s="51" t="s">
        <v>214</v>
      </c>
      <c r="C53" s="52" t="s">
        <v>215</v>
      </c>
      <c r="D53" s="53" t="s">
        <v>216</v>
      </c>
      <c r="E53" s="55" t="s">
        <v>7</v>
      </c>
      <c r="F53" s="55" t="s">
        <v>87</v>
      </c>
      <c r="G53" s="14" t="s">
        <v>20</v>
      </c>
      <c r="H53" s="52"/>
    </row>
    <row r="54" customFormat="false" ht="42" hidden="false" customHeight="true" outlineLevel="0" collapsed="false">
      <c r="A54" s="75" t="s">
        <v>42</v>
      </c>
      <c r="B54" s="51" t="s">
        <v>217</v>
      </c>
      <c r="C54" s="52" t="s">
        <v>218</v>
      </c>
      <c r="D54" s="53" t="s">
        <v>219</v>
      </c>
      <c r="E54" s="55" t="s">
        <v>7</v>
      </c>
      <c r="F54" s="54" t="s">
        <v>94</v>
      </c>
      <c r="G54" s="14" t="s">
        <v>20</v>
      </c>
      <c r="H54" s="52"/>
    </row>
    <row r="55" customFormat="false" ht="42" hidden="false" customHeight="true" outlineLevel="0" collapsed="false">
      <c r="A55" s="75" t="s">
        <v>42</v>
      </c>
      <c r="B55" s="51" t="s">
        <v>220</v>
      </c>
      <c r="C55" s="52" t="s">
        <v>221</v>
      </c>
      <c r="D55" s="53" t="s">
        <v>222</v>
      </c>
      <c r="E55" s="56" t="s">
        <v>8</v>
      </c>
      <c r="F55" s="56" t="s">
        <v>101</v>
      </c>
      <c r="G55" s="14" t="s">
        <v>102</v>
      </c>
      <c r="H55" s="52"/>
    </row>
    <row r="56" customFormat="false" ht="19.5" hidden="false" customHeight="true" outlineLevel="0" collapsed="false">
      <c r="A56" s="76" t="s">
        <v>223</v>
      </c>
      <c r="B56" s="76"/>
      <c r="C56" s="76"/>
      <c r="D56" s="76"/>
      <c r="E56" s="76"/>
      <c r="F56" s="76"/>
      <c r="G56" s="76"/>
      <c r="H56" s="76"/>
    </row>
    <row r="57" customFormat="false" ht="42" hidden="false" customHeight="true" outlineLevel="0" collapsed="false">
      <c r="A57" s="77" t="s">
        <v>45</v>
      </c>
      <c r="B57" s="51" t="s">
        <v>224</v>
      </c>
      <c r="C57" s="52" t="s">
        <v>225</v>
      </c>
      <c r="D57" s="53" t="s">
        <v>226</v>
      </c>
      <c r="E57" s="56" t="s">
        <v>8</v>
      </c>
      <c r="F57" s="56" t="s">
        <v>101</v>
      </c>
      <c r="G57" s="14" t="s">
        <v>102</v>
      </c>
      <c r="H57" s="52"/>
    </row>
    <row r="58" customFormat="false" ht="42" hidden="false" customHeight="true" outlineLevel="0" collapsed="false">
      <c r="A58" s="77" t="s">
        <v>45</v>
      </c>
      <c r="B58" s="51" t="s">
        <v>227</v>
      </c>
      <c r="C58" s="52" t="s">
        <v>228</v>
      </c>
      <c r="D58" s="53" t="s">
        <v>229</v>
      </c>
      <c r="E58" s="54" t="s">
        <v>6</v>
      </c>
      <c r="F58" s="56" t="s">
        <v>101</v>
      </c>
      <c r="G58" s="14" t="s">
        <v>16</v>
      </c>
      <c r="H58" s="52"/>
    </row>
    <row r="59" customFormat="false" ht="19.5" hidden="false" customHeight="true" outlineLevel="0" collapsed="false">
      <c r="A59" s="78" t="s">
        <v>230</v>
      </c>
      <c r="B59" s="78"/>
      <c r="C59" s="78"/>
      <c r="D59" s="78"/>
      <c r="E59" s="78"/>
      <c r="F59" s="78"/>
      <c r="G59" s="78"/>
      <c r="H59" s="78"/>
    </row>
    <row r="60" customFormat="false" ht="42" hidden="false" customHeight="true" outlineLevel="0" collapsed="false">
      <c r="A60" s="79" t="s">
        <v>48</v>
      </c>
      <c r="B60" s="51" t="s">
        <v>231</v>
      </c>
      <c r="C60" s="52" t="s">
        <v>232</v>
      </c>
      <c r="D60" s="53" t="s">
        <v>233</v>
      </c>
      <c r="E60" s="54" t="s">
        <v>6</v>
      </c>
      <c r="F60" s="54" t="s">
        <v>94</v>
      </c>
      <c r="G60" s="14" t="s">
        <v>20</v>
      </c>
      <c r="H60" s="52"/>
    </row>
    <row r="61" customFormat="false" ht="42" hidden="false" customHeight="true" outlineLevel="0" collapsed="false">
      <c r="A61" s="79" t="s">
        <v>48</v>
      </c>
      <c r="B61" s="51" t="s">
        <v>234</v>
      </c>
      <c r="C61" s="52" t="s">
        <v>235</v>
      </c>
      <c r="D61" s="53" t="s">
        <v>236</v>
      </c>
      <c r="E61" s="54" t="s">
        <v>6</v>
      </c>
      <c r="F61" s="54" t="s">
        <v>94</v>
      </c>
      <c r="G61" s="14" t="s">
        <v>16</v>
      </c>
      <c r="H61" s="52"/>
    </row>
    <row r="62" customFormat="false" ht="42" hidden="false" customHeight="true" outlineLevel="0" collapsed="false">
      <c r="A62" s="79" t="s">
        <v>48</v>
      </c>
      <c r="B62" s="51" t="s">
        <v>237</v>
      </c>
      <c r="C62" s="52" t="s">
        <v>238</v>
      </c>
      <c r="D62" s="53" t="s">
        <v>239</v>
      </c>
      <c r="E62" s="54" t="s">
        <v>6</v>
      </c>
      <c r="F62" s="55" t="s">
        <v>87</v>
      </c>
      <c r="G62" s="14" t="s">
        <v>20</v>
      </c>
      <c r="H62" s="52"/>
    </row>
    <row r="63" customFormat="false" ht="19.5" hidden="false" customHeight="true" outlineLevel="0" collapsed="false">
      <c r="A63" s="80" t="s">
        <v>240</v>
      </c>
      <c r="B63" s="80"/>
      <c r="C63" s="80"/>
      <c r="D63" s="80"/>
      <c r="E63" s="80"/>
      <c r="F63" s="80"/>
      <c r="G63" s="80"/>
      <c r="H63" s="80"/>
    </row>
    <row r="64" customFormat="false" ht="42" hidden="false" customHeight="true" outlineLevel="0" collapsed="false">
      <c r="A64" s="81" t="s">
        <v>51</v>
      </c>
      <c r="B64" s="51" t="s">
        <v>241</v>
      </c>
      <c r="C64" s="52" t="s">
        <v>242</v>
      </c>
      <c r="D64" s="53" t="s">
        <v>243</v>
      </c>
      <c r="E64" s="55" t="s">
        <v>7</v>
      </c>
      <c r="F64" s="54" t="s">
        <v>94</v>
      </c>
      <c r="G64" s="14" t="s">
        <v>20</v>
      </c>
      <c r="H64" s="52"/>
    </row>
    <row r="65" customFormat="false" ht="42" hidden="false" customHeight="true" outlineLevel="0" collapsed="false">
      <c r="A65" s="81" t="s">
        <v>51</v>
      </c>
      <c r="B65" s="51" t="s">
        <v>244</v>
      </c>
      <c r="C65" s="52" t="s">
        <v>245</v>
      </c>
      <c r="D65" s="53" t="s">
        <v>246</v>
      </c>
      <c r="E65" s="56" t="s">
        <v>8</v>
      </c>
      <c r="F65" s="56" t="s">
        <v>101</v>
      </c>
      <c r="G65" s="14" t="s">
        <v>102</v>
      </c>
      <c r="H65" s="52"/>
    </row>
    <row r="66" customFormat="false" ht="42" hidden="false" customHeight="true" outlineLevel="0" collapsed="false">
      <c r="A66" s="81" t="s">
        <v>51</v>
      </c>
      <c r="B66" s="51" t="s">
        <v>247</v>
      </c>
      <c r="C66" s="52" t="s">
        <v>248</v>
      </c>
      <c r="D66" s="53" t="s">
        <v>249</v>
      </c>
      <c r="E66" s="56" t="s">
        <v>8</v>
      </c>
      <c r="F66" s="56" t="s">
        <v>101</v>
      </c>
      <c r="G66" s="14" t="s">
        <v>102</v>
      </c>
      <c r="H66" s="52"/>
    </row>
    <row r="67" customFormat="false" ht="42" hidden="false" customHeight="true" outlineLevel="0" collapsed="false">
      <c r="A67" s="81" t="s">
        <v>51</v>
      </c>
      <c r="B67" s="51" t="s">
        <v>250</v>
      </c>
      <c r="C67" s="52" t="s">
        <v>251</v>
      </c>
      <c r="D67" s="53" t="s">
        <v>125</v>
      </c>
      <c r="E67" s="56" t="s">
        <v>8</v>
      </c>
      <c r="F67" s="56" t="s">
        <v>101</v>
      </c>
      <c r="G67" s="14" t="s">
        <v>102</v>
      </c>
      <c r="H67" s="52"/>
    </row>
    <row r="68" customFormat="false" ht="19.5" hidden="false" customHeight="true" outlineLevel="0" collapsed="false">
      <c r="A68" s="49" t="s">
        <v>252</v>
      </c>
      <c r="B68" s="49"/>
      <c r="C68" s="49"/>
      <c r="D68" s="49"/>
      <c r="E68" s="49"/>
      <c r="F68" s="49"/>
      <c r="G68" s="49"/>
      <c r="H68" s="49"/>
    </row>
    <row r="69" customFormat="false" ht="42" hidden="false" customHeight="true" outlineLevel="0" collapsed="false">
      <c r="A69" s="50" t="s">
        <v>54</v>
      </c>
      <c r="B69" s="51" t="s">
        <v>253</v>
      </c>
      <c r="C69" s="52" t="s">
        <v>254</v>
      </c>
      <c r="D69" s="53" t="s">
        <v>255</v>
      </c>
      <c r="E69" s="59" t="s">
        <v>5</v>
      </c>
      <c r="F69" s="55" t="s">
        <v>87</v>
      </c>
      <c r="G69" s="14" t="s">
        <v>16</v>
      </c>
      <c r="H69" s="52"/>
    </row>
    <row r="70" customFormat="false" ht="42" hidden="false" customHeight="true" outlineLevel="0" collapsed="false">
      <c r="A70" s="50" t="s">
        <v>54</v>
      </c>
      <c r="B70" s="51" t="s">
        <v>256</v>
      </c>
      <c r="C70" s="52" t="s">
        <v>257</v>
      </c>
      <c r="D70" s="53" t="s">
        <v>258</v>
      </c>
      <c r="E70" s="59" t="s">
        <v>5</v>
      </c>
      <c r="F70" s="55" t="s">
        <v>87</v>
      </c>
      <c r="G70" s="14" t="s">
        <v>16</v>
      </c>
      <c r="H70" s="52"/>
    </row>
    <row r="71" customFormat="false" ht="42" hidden="false" customHeight="true" outlineLevel="0" collapsed="false">
      <c r="A71" s="50" t="s">
        <v>54</v>
      </c>
      <c r="B71" s="51" t="s">
        <v>259</v>
      </c>
      <c r="C71" s="52" t="s">
        <v>260</v>
      </c>
      <c r="D71" s="53" t="s">
        <v>261</v>
      </c>
      <c r="E71" s="59" t="s">
        <v>5</v>
      </c>
      <c r="F71" s="55" t="s">
        <v>87</v>
      </c>
      <c r="G71" s="14" t="s">
        <v>16</v>
      </c>
      <c r="H71" s="52"/>
    </row>
    <row r="72" customFormat="false" ht="42" hidden="false" customHeight="true" outlineLevel="0" collapsed="false">
      <c r="A72" s="50" t="s">
        <v>54</v>
      </c>
      <c r="B72" s="51" t="s">
        <v>262</v>
      </c>
      <c r="C72" s="52" t="s">
        <v>263</v>
      </c>
      <c r="D72" s="53" t="s">
        <v>264</v>
      </c>
      <c r="E72" s="56" t="s">
        <v>8</v>
      </c>
      <c r="F72" s="56" t="s">
        <v>101</v>
      </c>
      <c r="G72" s="14" t="s">
        <v>102</v>
      </c>
      <c r="H72" s="52"/>
    </row>
    <row r="73" customFormat="false" ht="42" hidden="false" customHeight="true" outlineLevel="0" collapsed="false">
      <c r="A73" s="50" t="s">
        <v>54</v>
      </c>
      <c r="B73" s="51" t="s">
        <v>265</v>
      </c>
      <c r="C73" s="52" t="s">
        <v>266</v>
      </c>
      <c r="D73" s="53" t="s">
        <v>267</v>
      </c>
      <c r="E73" s="59" t="s">
        <v>5</v>
      </c>
      <c r="F73" s="54" t="s">
        <v>94</v>
      </c>
      <c r="G73" s="14" t="s">
        <v>16</v>
      </c>
      <c r="H73" s="52"/>
    </row>
    <row r="74" customFormat="false" ht="42" hidden="false" customHeight="true" outlineLevel="0" collapsed="false">
      <c r="A74" s="50" t="s">
        <v>54</v>
      </c>
      <c r="B74" s="51" t="s">
        <v>268</v>
      </c>
      <c r="C74" s="52" t="s">
        <v>269</v>
      </c>
      <c r="D74" s="53" t="s">
        <v>270</v>
      </c>
      <c r="E74" s="56" t="s">
        <v>8</v>
      </c>
      <c r="F74" s="56" t="s">
        <v>101</v>
      </c>
      <c r="G74" s="14" t="s">
        <v>102</v>
      </c>
      <c r="H74" s="52"/>
    </row>
    <row r="75" customFormat="false" ht="19.5" hidden="false" customHeight="true" outlineLevel="0" collapsed="false">
      <c r="A75" s="64" t="s">
        <v>271</v>
      </c>
      <c r="B75" s="64"/>
      <c r="C75" s="64"/>
      <c r="D75" s="64"/>
      <c r="E75" s="64"/>
      <c r="F75" s="64"/>
      <c r="G75" s="64"/>
      <c r="H75" s="64"/>
    </row>
    <row r="76" customFormat="false" ht="42" hidden="false" customHeight="true" outlineLevel="0" collapsed="false">
      <c r="A76" s="65" t="s">
        <v>57</v>
      </c>
      <c r="B76" s="51" t="s">
        <v>272</v>
      </c>
      <c r="C76" s="52" t="s">
        <v>273</v>
      </c>
      <c r="D76" s="53" t="s">
        <v>274</v>
      </c>
      <c r="E76" s="55" t="s">
        <v>7</v>
      </c>
      <c r="F76" s="55" t="s">
        <v>87</v>
      </c>
      <c r="G76" s="14" t="s">
        <v>20</v>
      </c>
      <c r="H76" s="52"/>
    </row>
    <row r="77" customFormat="false" ht="42" hidden="false" customHeight="true" outlineLevel="0" collapsed="false">
      <c r="A77" s="65" t="s">
        <v>57</v>
      </c>
      <c r="B77" s="51" t="s">
        <v>275</v>
      </c>
      <c r="C77" s="52" t="s">
        <v>276</v>
      </c>
      <c r="D77" s="53" t="s">
        <v>277</v>
      </c>
      <c r="E77" s="55" t="s">
        <v>7</v>
      </c>
      <c r="F77" s="55" t="s">
        <v>87</v>
      </c>
      <c r="G77" s="14" t="s">
        <v>20</v>
      </c>
      <c r="H77" s="52"/>
    </row>
    <row r="78" customFormat="false" ht="42" hidden="false" customHeight="true" outlineLevel="0" collapsed="false">
      <c r="A78" s="65" t="s">
        <v>57</v>
      </c>
      <c r="B78" s="51" t="s">
        <v>278</v>
      </c>
      <c r="C78" s="52" t="s">
        <v>279</v>
      </c>
      <c r="D78" s="53" t="s">
        <v>280</v>
      </c>
      <c r="E78" s="55" t="s">
        <v>7</v>
      </c>
      <c r="F78" s="54" t="s">
        <v>94</v>
      </c>
      <c r="G78" s="14" t="s">
        <v>20</v>
      </c>
      <c r="H78" s="52"/>
    </row>
    <row r="79" customFormat="false" ht="42" hidden="false" customHeight="true" outlineLevel="0" collapsed="false">
      <c r="A79" s="65" t="s">
        <v>57</v>
      </c>
      <c r="B79" s="51" t="s">
        <v>281</v>
      </c>
      <c r="C79" s="52" t="s">
        <v>282</v>
      </c>
      <c r="D79" s="53" t="s">
        <v>283</v>
      </c>
      <c r="E79" s="55" t="s">
        <v>7</v>
      </c>
      <c r="F79" s="55" t="s">
        <v>87</v>
      </c>
      <c r="G79" s="14" t="s">
        <v>20</v>
      </c>
      <c r="H79" s="52"/>
    </row>
    <row r="80" customFormat="false" ht="19.5" hidden="false" customHeight="true" outlineLevel="0" collapsed="false">
      <c r="A80" s="57" t="s">
        <v>284</v>
      </c>
      <c r="B80" s="57"/>
      <c r="C80" s="57"/>
      <c r="D80" s="57"/>
      <c r="E80" s="57"/>
      <c r="F80" s="57"/>
      <c r="G80" s="57"/>
      <c r="H80" s="57"/>
    </row>
    <row r="81" customFormat="false" ht="42" hidden="false" customHeight="true" outlineLevel="0" collapsed="false">
      <c r="A81" s="58" t="s">
        <v>60</v>
      </c>
      <c r="B81" s="51" t="s">
        <v>285</v>
      </c>
      <c r="C81" s="52" t="s">
        <v>286</v>
      </c>
      <c r="D81" s="53" t="s">
        <v>287</v>
      </c>
      <c r="E81" s="59" t="s">
        <v>5</v>
      </c>
      <c r="F81" s="55" t="s">
        <v>87</v>
      </c>
      <c r="G81" s="14" t="s">
        <v>16</v>
      </c>
      <c r="H81" s="52"/>
    </row>
    <row r="82" customFormat="false" ht="42" hidden="false" customHeight="true" outlineLevel="0" collapsed="false">
      <c r="A82" s="58" t="s">
        <v>60</v>
      </c>
      <c r="B82" s="51" t="s">
        <v>288</v>
      </c>
      <c r="C82" s="52" t="s">
        <v>289</v>
      </c>
      <c r="D82" s="53" t="s">
        <v>290</v>
      </c>
      <c r="E82" s="59" t="s">
        <v>5</v>
      </c>
      <c r="F82" s="55" t="s">
        <v>87</v>
      </c>
      <c r="G82" s="14" t="s">
        <v>16</v>
      </c>
      <c r="H82" s="52"/>
    </row>
    <row r="83" customFormat="false" ht="42" hidden="false" customHeight="true" outlineLevel="0" collapsed="false">
      <c r="A83" s="58" t="s">
        <v>60</v>
      </c>
      <c r="B83" s="51" t="s">
        <v>291</v>
      </c>
      <c r="C83" s="52" t="s">
        <v>292</v>
      </c>
      <c r="D83" s="53" t="s">
        <v>293</v>
      </c>
      <c r="E83" s="56" t="s">
        <v>8</v>
      </c>
      <c r="F83" s="56" t="s">
        <v>101</v>
      </c>
      <c r="G83" s="14" t="s">
        <v>102</v>
      </c>
      <c r="H83" s="52"/>
    </row>
    <row r="84" customFormat="false" ht="42" hidden="false" customHeight="true" outlineLevel="0" collapsed="false">
      <c r="A84" s="58" t="s">
        <v>60</v>
      </c>
      <c r="B84" s="51" t="s">
        <v>294</v>
      </c>
      <c r="C84" s="52" t="s">
        <v>295</v>
      </c>
      <c r="D84" s="53" t="s">
        <v>296</v>
      </c>
      <c r="E84" s="59" t="s">
        <v>5</v>
      </c>
      <c r="F84" s="55" t="s">
        <v>87</v>
      </c>
      <c r="G84" s="14" t="s">
        <v>16</v>
      </c>
      <c r="H84" s="52"/>
    </row>
    <row r="85" customFormat="false" ht="42" hidden="false" customHeight="true" outlineLevel="0" collapsed="false">
      <c r="A85" s="58" t="s">
        <v>60</v>
      </c>
      <c r="B85" s="51" t="s">
        <v>297</v>
      </c>
      <c r="C85" s="52" t="s">
        <v>298</v>
      </c>
      <c r="D85" s="53" t="s">
        <v>299</v>
      </c>
      <c r="E85" s="56" t="s">
        <v>8</v>
      </c>
      <c r="F85" s="54" t="s">
        <v>94</v>
      </c>
      <c r="G85" s="14" t="s">
        <v>102</v>
      </c>
      <c r="H85" s="52"/>
    </row>
    <row r="86" customFormat="false" ht="19.5" hidden="false" customHeight="true" outlineLevel="0" collapsed="false">
      <c r="A86" s="60" t="s">
        <v>300</v>
      </c>
      <c r="B86" s="60"/>
      <c r="C86" s="60"/>
      <c r="D86" s="60"/>
      <c r="E86" s="60"/>
      <c r="F86" s="60"/>
      <c r="G86" s="60"/>
      <c r="H86" s="60"/>
    </row>
    <row r="87" customFormat="false" ht="42" hidden="false" customHeight="true" outlineLevel="0" collapsed="false">
      <c r="A87" s="61" t="s">
        <v>63</v>
      </c>
      <c r="B87" s="51" t="s">
        <v>301</v>
      </c>
      <c r="C87" s="52" t="s">
        <v>302</v>
      </c>
      <c r="D87" s="53" t="s">
        <v>303</v>
      </c>
      <c r="E87" s="56" t="s">
        <v>8</v>
      </c>
      <c r="F87" s="56" t="s">
        <v>101</v>
      </c>
      <c r="G87" s="14" t="s">
        <v>102</v>
      </c>
      <c r="H87" s="52"/>
    </row>
    <row r="88" customFormat="false" ht="42" hidden="false" customHeight="true" outlineLevel="0" collapsed="false">
      <c r="A88" s="61" t="s">
        <v>63</v>
      </c>
      <c r="B88" s="51" t="s">
        <v>304</v>
      </c>
      <c r="C88" s="52" t="s">
        <v>305</v>
      </c>
      <c r="D88" s="53" t="s">
        <v>306</v>
      </c>
      <c r="E88" s="56" t="s">
        <v>8</v>
      </c>
      <c r="F88" s="56" t="s">
        <v>101</v>
      </c>
      <c r="G88" s="14" t="s">
        <v>102</v>
      </c>
      <c r="H88" s="52"/>
    </row>
    <row r="89" customFormat="false" ht="42" hidden="false" customHeight="true" outlineLevel="0" collapsed="false">
      <c r="A89" s="61" t="s">
        <v>63</v>
      </c>
      <c r="B89" s="51" t="s">
        <v>307</v>
      </c>
      <c r="C89" s="52" t="s">
        <v>308</v>
      </c>
      <c r="D89" s="53" t="s">
        <v>309</v>
      </c>
      <c r="E89" s="56" t="s">
        <v>8</v>
      </c>
      <c r="F89" s="56" t="s">
        <v>101</v>
      </c>
      <c r="G89" s="14" t="s">
        <v>102</v>
      </c>
      <c r="H89" s="52"/>
    </row>
    <row r="90" customFormat="false" ht="42" hidden="false" customHeight="true" outlineLevel="0" collapsed="false">
      <c r="A90" s="61" t="s">
        <v>63</v>
      </c>
      <c r="B90" s="51" t="s">
        <v>310</v>
      </c>
      <c r="C90" s="52" t="s">
        <v>311</v>
      </c>
      <c r="D90" s="53" t="s">
        <v>312</v>
      </c>
      <c r="E90" s="55" t="s">
        <v>7</v>
      </c>
      <c r="F90" s="56" t="s">
        <v>101</v>
      </c>
      <c r="G90" s="14" t="s">
        <v>20</v>
      </c>
      <c r="H90" s="52"/>
    </row>
    <row r="91" customFormat="false" ht="19.5" hidden="false" customHeight="true" outlineLevel="0" collapsed="false">
      <c r="A91" s="66" t="s">
        <v>313</v>
      </c>
      <c r="B91" s="66"/>
      <c r="C91" s="66"/>
      <c r="D91" s="66"/>
      <c r="E91" s="66"/>
      <c r="F91" s="66"/>
      <c r="G91" s="66"/>
      <c r="H91" s="66"/>
    </row>
    <row r="92" customFormat="false" ht="42" hidden="false" customHeight="true" outlineLevel="0" collapsed="false">
      <c r="A92" s="67" t="s">
        <v>66</v>
      </c>
      <c r="B92" s="51" t="s">
        <v>314</v>
      </c>
      <c r="C92" s="52" t="s">
        <v>315</v>
      </c>
      <c r="D92" s="53" t="s">
        <v>316</v>
      </c>
      <c r="E92" s="54" t="s">
        <v>6</v>
      </c>
      <c r="F92" s="54" t="s">
        <v>94</v>
      </c>
      <c r="G92" s="14" t="s">
        <v>20</v>
      </c>
      <c r="H92" s="52"/>
    </row>
    <row r="93" customFormat="false" ht="42" hidden="false" customHeight="true" outlineLevel="0" collapsed="false">
      <c r="A93" s="67" t="s">
        <v>66</v>
      </c>
      <c r="B93" s="51" t="s">
        <v>317</v>
      </c>
      <c r="C93" s="52" t="s">
        <v>318</v>
      </c>
      <c r="D93" s="53" t="s">
        <v>319</v>
      </c>
      <c r="E93" s="55" t="s">
        <v>7</v>
      </c>
      <c r="F93" s="54" t="s">
        <v>94</v>
      </c>
      <c r="G93" s="14" t="s">
        <v>20</v>
      </c>
      <c r="H93" s="52"/>
    </row>
    <row r="94" customFormat="false" ht="42" hidden="false" customHeight="true" outlineLevel="0" collapsed="false">
      <c r="A94" s="67" t="s">
        <v>66</v>
      </c>
      <c r="B94" s="51" t="s">
        <v>320</v>
      </c>
      <c r="C94" s="52" t="s">
        <v>321</v>
      </c>
      <c r="D94" s="53" t="s">
        <v>322</v>
      </c>
      <c r="E94" s="54" t="s">
        <v>6</v>
      </c>
      <c r="F94" s="56" t="s">
        <v>101</v>
      </c>
      <c r="G94" s="14" t="s">
        <v>20</v>
      </c>
      <c r="H94" s="52"/>
    </row>
  </sheetData>
  <mergeCells count="20">
    <mergeCell ref="A1:H1"/>
    <mergeCell ref="A2:H2"/>
    <mergeCell ref="A4:H4"/>
    <mergeCell ref="A10:H10"/>
    <mergeCell ref="A16:H16"/>
    <mergeCell ref="A21:H21"/>
    <mergeCell ref="A26:H26"/>
    <mergeCell ref="A30:H30"/>
    <mergeCell ref="A33:H33"/>
    <mergeCell ref="A39:H39"/>
    <mergeCell ref="A47:H47"/>
    <mergeCell ref="A51:H51"/>
    <mergeCell ref="A56:H56"/>
    <mergeCell ref="A59:H59"/>
    <mergeCell ref="A63:H63"/>
    <mergeCell ref="A68:H68"/>
    <mergeCell ref="A75:H75"/>
    <mergeCell ref="A80:H80"/>
    <mergeCell ref="A86:H86"/>
    <mergeCell ref="A91:H91"/>
  </mergeCells>
  <dataValidations count="1">
    <dataValidation allowBlank="false" errorStyle="stop" operator="between" showDropDown="false" showErrorMessage="false" showInputMessage="false" sqref="E5:E9 E11:E15 E17:E20 E22:E25 E27:E29 E31:E32 E34:E38 E40:E46 E48:E50 E52:E55 E57:E58 E60:E62 E64:E67 E69:E74 E76:E79 E81:E85 E87:E90 E92:E94" type="list">
      <formula1>"Implemented,Partial,Gap,Not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2026-04-07T16:44:54Z</dcterms:created>
  <dc:creator>openpyxl</dc:creator>
  <dc:description/>
  <dc:language>en-US</dc:language>
  <cp:lastModifiedBy/>
  <dcterms:modified xsi:type="dcterms:W3CDTF">2026-04-07T16:44:54Z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